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6" yWindow="24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<sst xmlns="http://schemas.openxmlformats.org/spreadsheetml/2006/main" count="225" uniqueCount="225">
  <si>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</si>
  <si>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</si>
  <si>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</si>
  <si>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</si>
  <si>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</si>
  <si>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</si>
  <si>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</si>
  <si>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</si>
  <si>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</si>
  <si>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</si>
  <si>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</si>
  <si>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</si>
  <si>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</si>
  <si>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</si>
  <si>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</si>
  <si>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</si>
  <si>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</si>
  <si>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</si>
  <si>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</si>
  <si>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</si>
  <si>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</si>
  <si>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</si>
  <si>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</si>
  <si>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</si>
  <si>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</si>
  <si>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</si>
  <si>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</si>
  <si>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</si>
  <si>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</si>
  <si>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</si>
  <si>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</si>
  <si>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</si>
  <si>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</si>
  <si>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</si>
  <si>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</si>
  <si>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</si>
  <si>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</si>
  <si>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</si>
  <si>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</si>
  <si>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</si>
  <si>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</si>
  <si>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</si>
  <si>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</si>
  <si>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</si>
  <si>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</si>
  <si>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</si>
  <si>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</si>
  <si>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</si>
  <si>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</si>
  <si>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</si>
  <si>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</si>
  <si>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</si>
  <si>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</si>
  <si>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</si>
  <si>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</si>
  <si>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</si>
  <si>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</si>
  <si>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</si>
  <si>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</si>
  <si>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</si>
  <si>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</si>
  <si>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</si>
  <si>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</si>
  <si>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</si>
  <si>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</si>
  <si>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</si>
  <si>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</si>
  <si>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</si>
  <si>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</si>
  <si>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</si>
  <si>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</si>
  <si>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</si>
  <si>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</si>
  <si>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</si>
  <si>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</si>
  <si>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</si>
  <si>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</si>
  <si>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</si>
  <si>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</si>
  <si>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</si>
  <si>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</si>
  <si>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</si>
  <si>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</si>
  <si>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</si>
  <si>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</si>
  <si>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</si>
  <si>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</si>
  <si>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</si>
  <si>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</si>
  <si>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</si>
  <si>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</si>
  <si>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</si>
  <si>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</si>
  <si>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</si>
  <si>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</si>
  <si>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</si>
  <si>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</si>
  <si>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</si>
  <si>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</si>
  <si>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</si>
  <si>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</si>
  <si>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</si>
  <si>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</si>
  <si>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</si>
  <si>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</si>
  <si>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</si>
  <si>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</si>
  <si>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</si>
  <si>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</si>
  <si>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</si>
  <si>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</si>
  <si>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</si>
  <si>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</si>
  <si>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</si>
  <si>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</si>
  <si>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</si>
  <si>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</si>
  <si>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</si>
  <si>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</si>
  <si>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</si>
  <si>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</si>
  <si>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</si>
  <si>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</si>
  <si>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</si>
  <si>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</si>
  <si>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</si>
  <si>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</si>
  <si>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</si>
  <si>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</si>
  <si>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</si>
  <si>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</si>
  <si>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</si>
  <si>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</si>
  <si>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</si>
  <si>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</si>
  <si>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</si>
  <si>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</si>
  <si>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</si>
  <si>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</si>
  <si>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</si>
  <si>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</si>
  <si>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</si>
  <si>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</si>
  <si>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</si>
  <si>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</si>
  <si>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</si>
  <si>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</si>
  <si>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</si>
  <si>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</si>
  <si>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</si>
  <si>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</si>
  <si>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</si>
  <si>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</si>
  <si>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</si>
  <si>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</si>
  <si>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</si>
  <si>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</si>
  <si>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</si>
  <si>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</si>
  <si>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</si>
  <si>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</si>
  <si>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</si>
  <si>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</si>
  <si>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</si>
  <si>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</si>
  <si>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</si>
  <si>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</si>
  <si>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</si>
  <si>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</si>
  <si>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</si>
  <si>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</si>
  <si>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</si>
  <si>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</si>
  <si>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</si>
  <si>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</si>
  <si>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</si>
  <si>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</si>
  <si>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</si>
  <si>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</si>
  <si>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</si>
  <si>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</si>
  <si>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</si>
  <si>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</si>
  <si>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</si>
  <si>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</si>
  <si>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</si>
  <si>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</si>
  <si>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</si>
  <si>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</si>
  <si>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</si>
  <si>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</si>
  <si>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</si>
  <si>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</si>
  <si>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</si>
  <si>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</si>
  <si>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</si>
  <si>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</si>
  <si>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</si>
  <si>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</si>
  <si>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</si>
  <si>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</si>
  <si>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</si>
  <si>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</si>
  <si>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</si>
  <si>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</si>
  <si>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</si>
  <si>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</si>
  <si>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</si>
  <si>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ліквідація стихійних сміттєзвалищ на території міста</t>
  </si>
  <si>
    <t>7.</t>
  </si>
  <si>
    <t>7.1</t>
  </si>
  <si>
    <t xml:space="preserve"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 </t>
  </si>
  <si>
    <t>8.</t>
  </si>
  <si>
    <t>8.1</t>
  </si>
  <si>
    <t>Забезпечення діяльності водопровідно-каналізаційного господарства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</si>
  <si>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парків"), з них:</t>
  </si>
  <si>
    <t>послуга встановлення волейбольного обладнання (утримання та оновлення майна парків та скверів)</t>
  </si>
  <si>
    <t>придбання обладнання для облаштування кімнати "Матері та дитини"(утримання та оновлення майна парків та скверів)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</si>
  <si>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Черкаської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</si>
  <si>
    <t>поточний ремонт адмінбудівлі в парку "Перемога", послуги з поточного ремонту дитячих майданчиків, лав (утримання та оновлення майна парків та скверів)</t>
  </si>
  <si>
    <t>утримання системи поливу парку-пам'ятки  садово-паркового мистецтва місцевого значення Долина Троянд (утримання зелених насаджень та зеллених зон)</t>
  </si>
  <si>
    <t>Інша діяльність, пов'язана з експлуатацією об'єктів житлово-комунального господарства</t>
  </si>
  <si>
    <t xml:space="preserve">Капітальний ремонт житлового будинку №115 по вул. Нижня Горова (інженерні мережі) </t>
  </si>
  <si>
    <t>Профінансовано станом на 05.12.2018 року, грн.</t>
  </si>
  <si>
    <t>Забезпечення діяльності з виробництва, транспортування, постачання теплової енергії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</si>
</sst>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  <numFmt numFmtId="220" formatCode="#,##0.00;[Red]#,##0.00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i/>
      <sz val="10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3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4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6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1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8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9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60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5" fillId="52" borderId="20" xfId="0" applyNumberFormat="1" applyFont="1" applyFill="1" applyBorder="1" applyAlignment="1">
      <alignment horizontal="center" vertical="center" wrapText="1"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5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1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left" vertical="center" wrapText="1"/>
    </xf>
    <xf numFmtId="0" fontId="40" fillId="0" borderId="21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1" xfId="0" applyFont="1" applyFill="1" applyBorder="1" applyAlignment="1">
      <alignment horizontal="left" vertical="center" wrapText="1"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9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1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1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4" fontId="39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8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5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5" fillId="52" borderId="18" xfId="0" applyNumberFormat="1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 wrapText="1"/>
    </xf>
    <xf numFmtId="191" fontId="35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9" fillId="55" borderId="18" xfId="162" applyNumberFormat="1" applyFont="1" applyFill="1" applyBorder="1" applyAlignment="1">
      <alignment horizontal="left" vertical="center" wrapText="1"/>
      <protection/>
    </xf>
    <xf numFmtId="0" fontId="39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9" fillId="55" borderId="18" xfId="162" applyNumberFormat="1" applyFont="1" applyFill="1" applyBorder="1" applyAlignment="1">
      <alignment horizontal="center" vertical="center"/>
      <protection/>
    </xf>
    <xf numFmtId="4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9" fillId="55" borderId="18" xfId="0" applyFont="1" applyFill="1" applyBorder="1" applyAlignment="1">
      <alignment horizontal="left" wrapText="1"/>
    </xf>
    <xf numFmtId="0" fontId="39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40" fillId="0" borderId="29" xfId="0" applyFont="1" applyFill="1" applyBorder="1" applyAlignment="1">
      <alignment horizontal="left" vertical="center" wrapText="1"/>
    </xf>
    <xf numFmtId="49" fontId="30" fillId="54" borderId="18" xfId="0" applyNumberFormat="1" applyFont="1" applyFill="1" applyBorder="1" applyAlignment="1">
      <alignment horizontal="center" vertical="center"/>
    </xf>
    <xf numFmtId="0" fontId="38" fillId="54" borderId="18" xfId="0" applyFont="1" applyFill="1" applyBorder="1" applyAlignment="1">
      <alignment horizontal="left" vertical="center" wrapText="1"/>
    </xf>
    <xf numFmtId="186" fontId="41" fillId="54" borderId="18" xfId="0" applyNumberFormat="1" applyFont="1" applyFill="1" applyBorder="1" applyAlignment="1">
      <alignment horizontal="center" vertical="center"/>
    </xf>
    <xf numFmtId="0" fontId="39" fillId="54" borderId="22" xfId="0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/>
    </xf>
    <xf numFmtId="2" fontId="39" fillId="54" borderId="18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4" fontId="38" fillId="54" borderId="18" xfId="0" applyNumberFormat="1" applyFont="1" applyFill="1" applyBorder="1" applyAlignment="1">
      <alignment horizontal="center" vertical="center" wrapText="1"/>
    </xf>
    <xf numFmtId="0" fontId="28" fillId="54" borderId="18" xfId="0" applyFont="1" applyFill="1" applyBorder="1" applyAlignment="1">
      <alignment horizontal="center" vertical="center"/>
    </xf>
    <xf numFmtId="0" fontId="38" fillId="54" borderId="20" xfId="0" applyFont="1" applyFill="1" applyBorder="1" applyAlignment="1">
      <alignment horizontal="left" vertical="center" wrapText="1"/>
    </xf>
    <xf numFmtId="216" fontId="39" fillId="55" borderId="18" xfId="0" applyNumberFormat="1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left" vertical="center" wrapText="1"/>
    </xf>
    <xf numFmtId="2" fontId="33" fillId="55" borderId="18" xfId="0" applyNumberFormat="1" applyFont="1" applyFill="1" applyBorder="1" applyAlignment="1">
      <alignment horizontal="center" vertical="center"/>
    </xf>
    <xf numFmtId="2" fontId="4" fillId="55" borderId="18" xfId="0" applyNumberFormat="1" applyFont="1" applyFill="1" applyBorder="1" applyAlignment="1">
      <alignment horizontal="center" vertical="center"/>
    </xf>
    <xf numFmtId="219" fontId="0" fillId="0" borderId="18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3"/>
  <sheetViews>
    <sheetView tabSelected="1" zoomScale="90" zoomScaleNormal="90" zoomScalePageLayoutView="0" workbookViewId="0" topLeftCell="A133">
      <selection activeCell="AD132" sqref="AD132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41" t="s">
        <v>24</v>
      </c>
      <c r="B2" s="141"/>
      <c r="C2" s="141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</row>
    <row r="3" spans="2:30" ht="6.75" customHeight="1" thickBot="1">
      <c r="B3" s="7"/>
      <c r="C3" s="7"/>
      <c r="AD3" s="18"/>
    </row>
    <row r="4" spans="1:33" ht="12.75">
      <c r="A4" s="143" t="s">
        <v>16</v>
      </c>
      <c r="B4" s="145" t="s">
        <v>17</v>
      </c>
      <c r="C4" s="147" t="s">
        <v>35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148" t="s">
        <v>65</v>
      </c>
      <c r="AD4" s="136" t="s">
        <v>66</v>
      </c>
      <c r="AE4" s="83" t="s">
        <v>130</v>
      </c>
      <c r="AF4" s="136" t="s">
        <v>223</v>
      </c>
      <c r="AG4" s="134" t="s">
        <v>167</v>
      </c>
    </row>
    <row r="5" spans="1:33" ht="41.25" customHeight="1" thickBot="1">
      <c r="A5" s="144"/>
      <c r="B5" s="146"/>
      <c r="C5" s="146"/>
      <c r="D5" s="84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6"/>
      <c r="AC5" s="149"/>
      <c r="AD5" s="150"/>
      <c r="AE5" s="87" t="s">
        <v>129</v>
      </c>
      <c r="AF5" s="137"/>
      <c r="AG5" s="135"/>
    </row>
    <row r="6" spans="1:33" ht="30">
      <c r="A6" s="31" t="s">
        <v>28</v>
      </c>
      <c r="B6" s="96" t="s">
        <v>83</v>
      </c>
      <c r="C6" s="97">
        <f>AD6</f>
        <v>32345464.439999998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9"/>
      <c r="AD6" s="100">
        <f>SUM(AD7:AD64)</f>
        <v>32345464.439999998</v>
      </c>
      <c r="AE6" s="100">
        <f>AD6</f>
        <v>32345464.439999998</v>
      </c>
      <c r="AF6" s="101">
        <f>SUM(AF7:AF64)</f>
        <v>11337232.010000002</v>
      </c>
      <c r="AG6" s="81">
        <f>AF6/C6*100</f>
        <v>35.05045361469542</v>
      </c>
    </row>
    <row r="7" spans="1:33" ht="42">
      <c r="A7" s="20" t="s">
        <v>2</v>
      </c>
      <c r="B7" s="102" t="s">
        <v>171</v>
      </c>
      <c r="C7" s="88">
        <f>AD7</f>
        <v>22979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4"/>
      <c r="AD7" s="105">
        <f>AE7</f>
        <v>22979</v>
      </c>
      <c r="AE7" s="106">
        <v>22979</v>
      </c>
      <c r="AF7" s="107"/>
      <c r="AG7" s="77">
        <f>AF7/C7*100</f>
        <v>0</v>
      </c>
    </row>
    <row r="8" spans="1:33" ht="27.75">
      <c r="A8" s="20" t="s">
        <v>49</v>
      </c>
      <c r="B8" s="102" t="s">
        <v>172</v>
      </c>
      <c r="C8" s="88">
        <f aca="true" t="shared" si="0" ref="C8:C64">AD8</f>
        <v>76000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4"/>
      <c r="AD8" s="105">
        <f aca="true" t="shared" si="1" ref="AD8:AD64">AE8</f>
        <v>76000</v>
      </c>
      <c r="AE8" s="106">
        <v>76000</v>
      </c>
      <c r="AF8" s="107">
        <v>54640</v>
      </c>
      <c r="AG8" s="77">
        <f aca="true" t="shared" si="2" ref="AG8:AG80">AF8/C8*100</f>
        <v>71.89473684210526</v>
      </c>
    </row>
    <row r="9" spans="1:33" ht="27.75">
      <c r="A9" s="20" t="s">
        <v>50</v>
      </c>
      <c r="B9" s="102" t="s">
        <v>173</v>
      </c>
      <c r="C9" s="88">
        <f t="shared" si="0"/>
        <v>290000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4"/>
      <c r="AD9" s="105">
        <f t="shared" si="1"/>
        <v>290000</v>
      </c>
      <c r="AE9" s="106">
        <v>290000</v>
      </c>
      <c r="AF9" s="107">
        <v>177500</v>
      </c>
      <c r="AG9" s="77">
        <f t="shared" si="2"/>
        <v>61.206896551724135</v>
      </c>
    </row>
    <row r="10" spans="1:33" ht="27.75">
      <c r="A10" s="20" t="s">
        <v>43</v>
      </c>
      <c r="B10" s="102" t="s">
        <v>67</v>
      </c>
      <c r="C10" s="88">
        <f t="shared" si="0"/>
        <v>539000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4"/>
      <c r="AD10" s="105">
        <f t="shared" si="1"/>
        <v>539000</v>
      </c>
      <c r="AE10" s="106">
        <v>539000</v>
      </c>
      <c r="AF10" s="107">
        <f>25924.8+300000+66000+4634</f>
        <v>396558.8</v>
      </c>
      <c r="AG10" s="77">
        <f t="shared" si="2"/>
        <v>73.57306122448979</v>
      </c>
    </row>
    <row r="11" spans="1:33" ht="27.75">
      <c r="A11" s="20" t="s">
        <v>44</v>
      </c>
      <c r="B11" s="102" t="s">
        <v>68</v>
      </c>
      <c r="C11" s="88">
        <f t="shared" si="0"/>
        <v>400000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4"/>
      <c r="AD11" s="105">
        <f t="shared" si="1"/>
        <v>400000</v>
      </c>
      <c r="AE11" s="106">
        <v>400000</v>
      </c>
      <c r="AF11" s="107">
        <v>17944.8</v>
      </c>
      <c r="AG11" s="77">
        <f t="shared" si="2"/>
        <v>4.4862</v>
      </c>
    </row>
    <row r="12" spans="1:33" ht="27.75">
      <c r="A12" s="20" t="s">
        <v>19</v>
      </c>
      <c r="B12" s="102" t="s">
        <v>69</v>
      </c>
      <c r="C12" s="88">
        <f t="shared" si="0"/>
        <v>200000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4"/>
      <c r="AD12" s="105">
        <f t="shared" si="1"/>
        <v>200000</v>
      </c>
      <c r="AE12" s="106">
        <v>200000</v>
      </c>
      <c r="AF12" s="107">
        <v>15099.8</v>
      </c>
      <c r="AG12" s="77">
        <f t="shared" si="2"/>
        <v>7.5499</v>
      </c>
    </row>
    <row r="13" spans="1:33" ht="27.75">
      <c r="A13" s="20" t="s">
        <v>20</v>
      </c>
      <c r="B13" s="102" t="s">
        <v>70</v>
      </c>
      <c r="C13" s="88">
        <f t="shared" si="0"/>
        <v>485000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4"/>
      <c r="AD13" s="105">
        <f t="shared" si="1"/>
        <v>485000</v>
      </c>
      <c r="AE13" s="106">
        <v>485000</v>
      </c>
      <c r="AF13" s="107">
        <f>33000+309400</f>
        <v>342400</v>
      </c>
      <c r="AG13" s="77">
        <f t="shared" si="2"/>
        <v>70.5979381443299</v>
      </c>
    </row>
    <row r="14" spans="1:33" ht="27.75">
      <c r="A14" s="20" t="s">
        <v>45</v>
      </c>
      <c r="B14" s="102" t="s">
        <v>71</v>
      </c>
      <c r="C14" s="88">
        <f t="shared" si="0"/>
        <v>230000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4"/>
      <c r="AD14" s="105">
        <f t="shared" si="1"/>
        <v>230000</v>
      </c>
      <c r="AE14" s="106">
        <v>230000</v>
      </c>
      <c r="AF14" s="107"/>
      <c r="AG14" s="77">
        <f t="shared" si="2"/>
        <v>0</v>
      </c>
    </row>
    <row r="15" spans="1:33" ht="27.75">
      <c r="A15" s="20" t="s">
        <v>0</v>
      </c>
      <c r="B15" s="102" t="s">
        <v>206</v>
      </c>
      <c r="C15" s="88">
        <f t="shared" si="0"/>
        <v>100000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4"/>
      <c r="AD15" s="105">
        <f t="shared" si="1"/>
        <v>100000</v>
      </c>
      <c r="AE15" s="106">
        <v>100000</v>
      </c>
      <c r="AF15" s="107"/>
      <c r="AG15" s="77">
        <f t="shared" si="2"/>
        <v>0</v>
      </c>
    </row>
    <row r="16" spans="1:33" ht="27.75">
      <c r="A16" s="20" t="s">
        <v>26</v>
      </c>
      <c r="B16" s="102" t="s">
        <v>72</v>
      </c>
      <c r="C16" s="88">
        <f t="shared" si="0"/>
        <v>936751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4"/>
      <c r="AD16" s="105">
        <f t="shared" si="1"/>
        <v>936751</v>
      </c>
      <c r="AE16" s="106">
        <v>936751</v>
      </c>
      <c r="AF16" s="107">
        <f>211800+154504.75+339234.07</f>
        <v>705538.8200000001</v>
      </c>
      <c r="AG16" s="77">
        <f t="shared" si="2"/>
        <v>75.31764791283916</v>
      </c>
    </row>
    <row r="17" spans="1:33" ht="27.75">
      <c r="A17" s="20" t="s">
        <v>51</v>
      </c>
      <c r="B17" s="102" t="s">
        <v>73</v>
      </c>
      <c r="C17" s="88">
        <f t="shared" si="0"/>
        <v>80000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4"/>
      <c r="AD17" s="105">
        <f t="shared" si="1"/>
        <v>80000</v>
      </c>
      <c r="AE17" s="106">
        <v>80000</v>
      </c>
      <c r="AF17" s="108"/>
      <c r="AG17" s="77">
        <f t="shared" si="2"/>
        <v>0</v>
      </c>
    </row>
    <row r="18" spans="1:33" ht="27.75">
      <c r="A18" s="20" t="s">
        <v>22</v>
      </c>
      <c r="B18" s="102" t="s">
        <v>74</v>
      </c>
      <c r="C18" s="88">
        <f t="shared" si="0"/>
        <v>500000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  <c r="AD18" s="105">
        <f t="shared" si="1"/>
        <v>500000</v>
      </c>
      <c r="AE18" s="106">
        <v>500000</v>
      </c>
      <c r="AF18" s="108"/>
      <c r="AG18" s="77">
        <f t="shared" si="2"/>
        <v>0</v>
      </c>
    </row>
    <row r="19" spans="1:33" ht="27.75">
      <c r="A19" s="20" t="s">
        <v>85</v>
      </c>
      <c r="B19" s="102" t="s">
        <v>75</v>
      </c>
      <c r="C19" s="88">
        <f t="shared" si="0"/>
        <v>500000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4"/>
      <c r="AD19" s="105">
        <f t="shared" si="1"/>
        <v>500000</v>
      </c>
      <c r="AE19" s="106">
        <v>500000</v>
      </c>
      <c r="AF19" s="107">
        <f>345755.8+120749+5654</f>
        <v>472158.8</v>
      </c>
      <c r="AG19" s="77">
        <f t="shared" si="2"/>
        <v>94.43176</v>
      </c>
    </row>
    <row r="20" spans="1:33" ht="27.75">
      <c r="A20" s="20" t="s">
        <v>86</v>
      </c>
      <c r="B20" s="102" t="s">
        <v>174</v>
      </c>
      <c r="C20" s="88">
        <f t="shared" si="0"/>
        <v>333194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4"/>
      <c r="AD20" s="105">
        <f t="shared" si="1"/>
        <v>333194</v>
      </c>
      <c r="AE20" s="106">
        <v>333194</v>
      </c>
      <c r="AF20" s="107">
        <v>11397.39</v>
      </c>
      <c r="AG20" s="77">
        <f t="shared" si="2"/>
        <v>3.4206468303750968</v>
      </c>
    </row>
    <row r="21" spans="1:33" ht="27.75">
      <c r="A21" s="20" t="s">
        <v>87</v>
      </c>
      <c r="B21" s="102" t="s">
        <v>222</v>
      </c>
      <c r="C21" s="88">
        <f t="shared" si="0"/>
        <v>176110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4"/>
      <c r="AD21" s="105">
        <f t="shared" si="1"/>
        <v>176110</v>
      </c>
      <c r="AE21" s="106">
        <v>176110</v>
      </c>
      <c r="AF21" s="107">
        <f>11260+135000</f>
        <v>146260</v>
      </c>
      <c r="AG21" s="77">
        <f t="shared" si="2"/>
        <v>83.0503662483675</v>
      </c>
    </row>
    <row r="22" spans="1:33" ht="27.75">
      <c r="A22" s="20" t="s">
        <v>88</v>
      </c>
      <c r="B22" s="102" t="s">
        <v>175</v>
      </c>
      <c r="C22" s="88">
        <f t="shared" si="0"/>
        <v>100000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4"/>
      <c r="AD22" s="105">
        <f t="shared" si="1"/>
        <v>100000</v>
      </c>
      <c r="AE22" s="106">
        <v>100000</v>
      </c>
      <c r="AF22" s="107">
        <f>3547+51441</f>
        <v>54988</v>
      </c>
      <c r="AG22" s="77">
        <f t="shared" si="2"/>
        <v>54.98800000000001</v>
      </c>
    </row>
    <row r="23" spans="1:33" ht="27.75">
      <c r="A23" s="20" t="s">
        <v>89</v>
      </c>
      <c r="B23" s="102" t="s">
        <v>176</v>
      </c>
      <c r="C23" s="88">
        <f t="shared" si="0"/>
        <v>100000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4"/>
      <c r="AD23" s="105">
        <f t="shared" si="1"/>
        <v>100000</v>
      </c>
      <c r="AE23" s="106">
        <v>100000</v>
      </c>
      <c r="AF23" s="107">
        <f>3547+51441</f>
        <v>54988</v>
      </c>
      <c r="AG23" s="77">
        <f t="shared" si="2"/>
        <v>54.98800000000001</v>
      </c>
    </row>
    <row r="24" spans="1:33" ht="27.75">
      <c r="A24" s="20" t="s">
        <v>90</v>
      </c>
      <c r="B24" s="102" t="s">
        <v>177</v>
      </c>
      <c r="C24" s="88">
        <f t="shared" si="0"/>
        <v>250000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4"/>
      <c r="AD24" s="105">
        <f t="shared" si="1"/>
        <v>250000</v>
      </c>
      <c r="AE24" s="106">
        <v>250000</v>
      </c>
      <c r="AF24" s="107">
        <f>3424.8+150000+818</f>
        <v>154242.8</v>
      </c>
      <c r="AG24" s="77">
        <f t="shared" si="2"/>
        <v>61.69711999999999</v>
      </c>
    </row>
    <row r="25" spans="1:33" ht="27.75">
      <c r="A25" s="20" t="s">
        <v>91</v>
      </c>
      <c r="B25" s="102" t="s">
        <v>178</v>
      </c>
      <c r="C25" s="88">
        <f t="shared" si="0"/>
        <v>234108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4"/>
      <c r="AD25" s="105">
        <f t="shared" si="1"/>
        <v>234108</v>
      </c>
      <c r="AE25" s="106">
        <v>234108</v>
      </c>
      <c r="AF25" s="107">
        <f>3424.8+155000+66544</f>
        <v>224968.8</v>
      </c>
      <c r="AG25" s="77">
        <f t="shared" si="2"/>
        <v>96.0961607463222</v>
      </c>
    </row>
    <row r="26" spans="1:33" ht="27.75">
      <c r="A26" s="20" t="s">
        <v>92</v>
      </c>
      <c r="B26" s="102" t="s">
        <v>205</v>
      </c>
      <c r="C26" s="88">
        <f t="shared" si="0"/>
        <v>150000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4"/>
      <c r="AD26" s="105">
        <f t="shared" si="1"/>
        <v>150000</v>
      </c>
      <c r="AE26" s="106">
        <v>150000</v>
      </c>
      <c r="AF26" s="107">
        <f>3424.8+100000+357</f>
        <v>103781.8</v>
      </c>
      <c r="AG26" s="77">
        <f t="shared" si="2"/>
        <v>69.18786666666666</v>
      </c>
    </row>
    <row r="27" spans="1:33" ht="27.75">
      <c r="A27" s="20" t="s">
        <v>93</v>
      </c>
      <c r="B27" s="102" t="s">
        <v>166</v>
      </c>
      <c r="C27" s="88">
        <f t="shared" si="0"/>
        <v>1300000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4"/>
      <c r="AD27" s="105">
        <f t="shared" si="1"/>
        <v>1300000</v>
      </c>
      <c r="AE27" s="106">
        <v>1300000</v>
      </c>
      <c r="AF27" s="107">
        <f>48851+614686+4003.69+352842.33+13646.62+49043.4</f>
        <v>1083073.04</v>
      </c>
      <c r="AG27" s="77">
        <f t="shared" si="2"/>
        <v>83.31331076923078</v>
      </c>
    </row>
    <row r="28" spans="1:33" ht="27.75">
      <c r="A28" s="20" t="s">
        <v>94</v>
      </c>
      <c r="B28" s="102" t="s">
        <v>168</v>
      </c>
      <c r="C28" s="88">
        <f t="shared" si="0"/>
        <v>1050283.59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4"/>
      <c r="AD28" s="105">
        <f t="shared" si="1"/>
        <v>1050283.59</v>
      </c>
      <c r="AE28" s="106">
        <v>1050283.59</v>
      </c>
      <c r="AF28" s="107">
        <f>48851+493855+6362+209846.48</f>
        <v>758914.48</v>
      </c>
      <c r="AG28" s="77">
        <f t="shared" si="2"/>
        <v>72.258053655775</v>
      </c>
    </row>
    <row r="29" spans="1:33" ht="27.75">
      <c r="A29" s="20" t="s">
        <v>95</v>
      </c>
      <c r="B29" s="102" t="s">
        <v>76</v>
      </c>
      <c r="C29" s="88">
        <f t="shared" si="0"/>
        <v>100000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4"/>
      <c r="AD29" s="105">
        <f t="shared" si="1"/>
        <v>100000</v>
      </c>
      <c r="AE29" s="106">
        <v>100000</v>
      </c>
      <c r="AF29" s="107">
        <f>19600+60000</f>
        <v>79600</v>
      </c>
      <c r="AG29" s="77">
        <f t="shared" si="2"/>
        <v>79.60000000000001</v>
      </c>
    </row>
    <row r="30" spans="1:33" ht="27.75">
      <c r="A30" s="20" t="s">
        <v>96</v>
      </c>
      <c r="B30" s="102" t="s">
        <v>131</v>
      </c>
      <c r="C30" s="88">
        <f t="shared" si="0"/>
        <v>100000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4"/>
      <c r="AD30" s="105">
        <f t="shared" si="1"/>
        <v>100000</v>
      </c>
      <c r="AE30" s="106">
        <v>100000</v>
      </c>
      <c r="AF30" s="107">
        <f>17299.8+60000</f>
        <v>77299.8</v>
      </c>
      <c r="AG30" s="77">
        <f t="shared" si="2"/>
        <v>77.2998</v>
      </c>
    </row>
    <row r="31" spans="1:33" ht="27.75">
      <c r="A31" s="20" t="s">
        <v>97</v>
      </c>
      <c r="B31" s="102" t="s">
        <v>179</v>
      </c>
      <c r="C31" s="88">
        <f t="shared" si="0"/>
        <v>70000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4"/>
      <c r="AD31" s="105">
        <f t="shared" si="1"/>
        <v>70000</v>
      </c>
      <c r="AE31" s="106">
        <v>70000</v>
      </c>
      <c r="AF31" s="108"/>
      <c r="AG31" s="77">
        <f t="shared" si="2"/>
        <v>0</v>
      </c>
    </row>
    <row r="32" spans="1:33" ht="27.75">
      <c r="A32" s="20" t="s">
        <v>98</v>
      </c>
      <c r="B32" s="102" t="s">
        <v>77</v>
      </c>
      <c r="C32" s="88">
        <f t="shared" si="0"/>
        <v>70000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4"/>
      <c r="AD32" s="105">
        <f t="shared" si="1"/>
        <v>70000</v>
      </c>
      <c r="AE32" s="106">
        <v>70000</v>
      </c>
      <c r="AF32" s="108"/>
      <c r="AG32" s="77">
        <f t="shared" si="2"/>
        <v>0</v>
      </c>
    </row>
    <row r="33" spans="1:33" ht="27.75">
      <c r="A33" s="20" t="s">
        <v>99</v>
      </c>
      <c r="B33" s="102" t="s">
        <v>78</v>
      </c>
      <c r="C33" s="88">
        <f t="shared" si="0"/>
        <v>550000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4"/>
      <c r="AD33" s="105">
        <f t="shared" si="1"/>
        <v>550000</v>
      </c>
      <c r="AE33" s="106">
        <v>550000</v>
      </c>
      <c r="AF33" s="108"/>
      <c r="AG33" s="77">
        <f t="shared" si="2"/>
        <v>0</v>
      </c>
    </row>
    <row r="34" spans="1:33" ht="27.75">
      <c r="A34" s="20" t="s">
        <v>100</v>
      </c>
      <c r="B34" s="102" t="s">
        <v>79</v>
      </c>
      <c r="C34" s="88">
        <f t="shared" si="0"/>
        <v>721000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4"/>
      <c r="AD34" s="105">
        <f t="shared" si="1"/>
        <v>721000</v>
      </c>
      <c r="AE34" s="106">
        <v>721000</v>
      </c>
      <c r="AF34" s="107">
        <f>12310+214500+159312.95+170377.41+153640.45+8620.45</f>
        <v>718761.26</v>
      </c>
      <c r="AG34" s="77">
        <f t="shared" si="2"/>
        <v>99.68949514563107</v>
      </c>
    </row>
    <row r="35" spans="1:33" ht="27.75">
      <c r="A35" s="20" t="s">
        <v>101</v>
      </c>
      <c r="B35" s="102" t="s">
        <v>180</v>
      </c>
      <c r="C35" s="88">
        <f t="shared" si="0"/>
        <v>100000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4"/>
      <c r="AD35" s="105">
        <f t="shared" si="1"/>
        <v>100000</v>
      </c>
      <c r="AE35" s="106">
        <v>100000</v>
      </c>
      <c r="AF35" s="107">
        <f>3548+51441</f>
        <v>54989</v>
      </c>
      <c r="AG35" s="77">
        <f t="shared" si="2"/>
        <v>54.989</v>
      </c>
    </row>
    <row r="36" spans="1:33" ht="27.75">
      <c r="A36" s="20" t="s">
        <v>102</v>
      </c>
      <c r="B36" s="102" t="s">
        <v>207</v>
      </c>
      <c r="C36" s="88">
        <f t="shared" si="0"/>
        <v>100000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4"/>
      <c r="AD36" s="105">
        <f t="shared" si="1"/>
        <v>100000</v>
      </c>
      <c r="AE36" s="106">
        <v>100000</v>
      </c>
      <c r="AF36" s="107"/>
      <c r="AG36" s="77">
        <f t="shared" si="2"/>
        <v>0</v>
      </c>
    </row>
    <row r="37" spans="1:33" ht="27.75">
      <c r="A37" s="20" t="s">
        <v>103</v>
      </c>
      <c r="B37" s="109" t="s">
        <v>181</v>
      </c>
      <c r="C37" s="88">
        <f t="shared" si="0"/>
        <v>250000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4"/>
      <c r="AD37" s="105">
        <f t="shared" si="1"/>
        <v>250000</v>
      </c>
      <c r="AE37" s="106">
        <v>250000</v>
      </c>
      <c r="AF37" s="107">
        <f>11213+130452</f>
        <v>141665</v>
      </c>
      <c r="AG37" s="77">
        <f t="shared" si="2"/>
        <v>56.666000000000004</v>
      </c>
    </row>
    <row r="38" spans="1:33" ht="27.75">
      <c r="A38" s="20" t="s">
        <v>104</v>
      </c>
      <c r="B38" s="110" t="s">
        <v>182</v>
      </c>
      <c r="C38" s="88">
        <f t="shared" si="0"/>
        <v>185837</v>
      </c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4"/>
      <c r="AD38" s="105">
        <f t="shared" si="1"/>
        <v>185837</v>
      </c>
      <c r="AE38" s="106">
        <v>185837</v>
      </c>
      <c r="AF38" s="107">
        <f>11213+126507</f>
        <v>137720</v>
      </c>
      <c r="AG38" s="77">
        <f t="shared" si="2"/>
        <v>74.10795482062237</v>
      </c>
    </row>
    <row r="39" spans="1:33" ht="27.75">
      <c r="A39" s="20" t="s">
        <v>105</v>
      </c>
      <c r="B39" s="111" t="s">
        <v>183</v>
      </c>
      <c r="C39" s="88">
        <f t="shared" si="0"/>
        <v>166666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4"/>
      <c r="AD39" s="105">
        <f t="shared" si="1"/>
        <v>166666</v>
      </c>
      <c r="AE39" s="106">
        <f>150000+16666</f>
        <v>166666</v>
      </c>
      <c r="AF39" s="107">
        <f>10949+126507</f>
        <v>137456</v>
      </c>
      <c r="AG39" s="77">
        <f t="shared" si="2"/>
        <v>82.47392989571958</v>
      </c>
    </row>
    <row r="40" spans="1:33" ht="27.75">
      <c r="A40" s="20" t="s">
        <v>106</v>
      </c>
      <c r="B40" s="111" t="s">
        <v>184</v>
      </c>
      <c r="C40" s="88">
        <f t="shared" si="0"/>
        <v>100000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4"/>
      <c r="AD40" s="105">
        <f t="shared" si="1"/>
        <v>100000</v>
      </c>
      <c r="AE40" s="106">
        <v>100000</v>
      </c>
      <c r="AF40" s="107">
        <f>3548+51441</f>
        <v>54989</v>
      </c>
      <c r="AG40" s="77">
        <f t="shared" si="2"/>
        <v>54.989</v>
      </c>
    </row>
    <row r="41" spans="1:33" ht="27.75">
      <c r="A41" s="20" t="s">
        <v>145</v>
      </c>
      <c r="B41" s="111" t="s">
        <v>185</v>
      </c>
      <c r="C41" s="88">
        <f t="shared" si="0"/>
        <v>141647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4"/>
      <c r="AD41" s="105">
        <f t="shared" si="1"/>
        <v>141647</v>
      </c>
      <c r="AE41" s="106">
        <v>141647</v>
      </c>
      <c r="AF41" s="107">
        <f>3424.8+89500+38424.8</f>
        <v>131349.6</v>
      </c>
      <c r="AG41" s="77">
        <f t="shared" si="2"/>
        <v>92.73023784478316</v>
      </c>
    </row>
    <row r="42" spans="1:33" ht="27.75">
      <c r="A42" s="20" t="s">
        <v>146</v>
      </c>
      <c r="B42" s="111" t="s">
        <v>186</v>
      </c>
      <c r="C42" s="88">
        <f t="shared" si="0"/>
        <v>305263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4"/>
      <c r="AD42" s="105">
        <f t="shared" si="1"/>
        <v>305263</v>
      </c>
      <c r="AE42" s="106">
        <v>305263</v>
      </c>
      <c r="AF42" s="107">
        <f>3424.8+168000+71996.4</f>
        <v>243421.19999999998</v>
      </c>
      <c r="AG42" s="77">
        <f t="shared" si="2"/>
        <v>79.74146883179422</v>
      </c>
    </row>
    <row r="43" spans="1:33" ht="27.75">
      <c r="A43" s="20" t="s">
        <v>147</v>
      </c>
      <c r="B43" s="111" t="s">
        <v>80</v>
      </c>
      <c r="C43" s="88">
        <f t="shared" si="0"/>
        <v>89529.4</v>
      </c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4"/>
      <c r="AD43" s="105">
        <f t="shared" si="1"/>
        <v>89529.4</v>
      </c>
      <c r="AE43" s="106">
        <v>89529.4</v>
      </c>
      <c r="AF43" s="107">
        <v>42652.16</v>
      </c>
      <c r="AG43" s="77">
        <f t="shared" si="2"/>
        <v>47.640395222128156</v>
      </c>
    </row>
    <row r="44" spans="1:33" ht="27.75">
      <c r="A44" s="20" t="s">
        <v>148</v>
      </c>
      <c r="B44" s="111" t="s">
        <v>159</v>
      </c>
      <c r="C44" s="88">
        <f t="shared" si="0"/>
        <v>259290.01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4"/>
      <c r="AD44" s="105">
        <f t="shared" si="1"/>
        <v>259290.01</v>
      </c>
      <c r="AE44" s="106">
        <v>259290.01</v>
      </c>
      <c r="AF44" s="107">
        <f>150000+1917.6+49589.95+30903.29+3251.19</f>
        <v>235662.03</v>
      </c>
      <c r="AG44" s="77">
        <f t="shared" si="2"/>
        <v>90.88743141318865</v>
      </c>
    </row>
    <row r="45" spans="1:33" ht="27.75">
      <c r="A45" s="20" t="s">
        <v>149</v>
      </c>
      <c r="B45" s="111" t="s">
        <v>135</v>
      </c>
      <c r="C45" s="88">
        <f t="shared" si="0"/>
        <v>89529.4</v>
      </c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4"/>
      <c r="AD45" s="105">
        <f t="shared" si="1"/>
        <v>89529.4</v>
      </c>
      <c r="AE45" s="106">
        <v>89529.4</v>
      </c>
      <c r="AF45" s="107">
        <v>46059.44</v>
      </c>
      <c r="AG45" s="77">
        <f t="shared" si="2"/>
        <v>51.44616181946936</v>
      </c>
    </row>
    <row r="46" spans="1:33" ht="27.75">
      <c r="A46" s="20" t="s">
        <v>150</v>
      </c>
      <c r="B46" s="112" t="s">
        <v>136</v>
      </c>
      <c r="C46" s="88">
        <f t="shared" si="0"/>
        <v>68183.04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4"/>
      <c r="AD46" s="105">
        <f t="shared" si="1"/>
        <v>68183.04</v>
      </c>
      <c r="AE46" s="106">
        <v>68183.04</v>
      </c>
      <c r="AF46" s="108"/>
      <c r="AG46" s="77">
        <f t="shared" si="2"/>
        <v>0</v>
      </c>
    </row>
    <row r="47" spans="1:33" ht="27.75">
      <c r="A47" s="20" t="s">
        <v>151</v>
      </c>
      <c r="B47" s="111" t="s">
        <v>187</v>
      </c>
      <c r="C47" s="88">
        <f t="shared" si="0"/>
        <v>68183.04</v>
      </c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4"/>
      <c r="AD47" s="105">
        <f t="shared" si="1"/>
        <v>68183.04</v>
      </c>
      <c r="AE47" s="106">
        <v>68183.04</v>
      </c>
      <c r="AF47" s="108"/>
      <c r="AG47" s="77">
        <f t="shared" si="2"/>
        <v>0</v>
      </c>
    </row>
    <row r="48" spans="1:33" ht="27.75">
      <c r="A48" s="20" t="s">
        <v>152</v>
      </c>
      <c r="B48" s="111" t="s">
        <v>188</v>
      </c>
      <c r="C48" s="88">
        <f t="shared" si="0"/>
        <v>12000</v>
      </c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4"/>
      <c r="AD48" s="105">
        <f t="shared" si="1"/>
        <v>12000</v>
      </c>
      <c r="AE48" s="106">
        <v>12000</v>
      </c>
      <c r="AF48" s="107">
        <v>7432.8</v>
      </c>
      <c r="AG48" s="77">
        <f aca="true" t="shared" si="3" ref="AG48:AG53">AF48/C48*100</f>
        <v>61.940000000000005</v>
      </c>
    </row>
    <row r="49" spans="1:33" ht="27.75">
      <c r="A49" s="20" t="s">
        <v>153</v>
      </c>
      <c r="B49" s="111" t="s">
        <v>137</v>
      </c>
      <c r="C49" s="88">
        <f t="shared" si="0"/>
        <v>6000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4"/>
      <c r="AD49" s="105">
        <f t="shared" si="1"/>
        <v>6000</v>
      </c>
      <c r="AE49" s="106">
        <v>6000</v>
      </c>
      <c r="AF49" s="107">
        <v>2912.4</v>
      </c>
      <c r="AG49" s="77">
        <f t="shared" si="3"/>
        <v>48.54</v>
      </c>
    </row>
    <row r="50" spans="1:33" ht="27.75">
      <c r="A50" s="20" t="s">
        <v>154</v>
      </c>
      <c r="B50" s="111" t="s">
        <v>138</v>
      </c>
      <c r="C50" s="88">
        <f t="shared" si="0"/>
        <v>12500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4"/>
      <c r="AD50" s="105">
        <f t="shared" si="1"/>
        <v>12500</v>
      </c>
      <c r="AE50" s="106">
        <v>12500</v>
      </c>
      <c r="AF50" s="107">
        <v>9697.2</v>
      </c>
      <c r="AG50" s="77">
        <f t="shared" si="3"/>
        <v>77.5776</v>
      </c>
    </row>
    <row r="51" spans="1:33" ht="30.75">
      <c r="A51" s="20" t="s">
        <v>155</v>
      </c>
      <c r="B51" s="113" t="s">
        <v>139</v>
      </c>
      <c r="C51" s="88">
        <f t="shared" si="0"/>
        <v>6000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4"/>
      <c r="AD51" s="105">
        <f t="shared" si="1"/>
        <v>6000</v>
      </c>
      <c r="AE51" s="106">
        <v>6000</v>
      </c>
      <c r="AF51" s="107">
        <v>2588.4</v>
      </c>
      <c r="AG51" s="77">
        <f t="shared" si="3"/>
        <v>43.14</v>
      </c>
    </row>
    <row r="52" spans="1:33" ht="30.75">
      <c r="A52" s="20" t="s">
        <v>156</v>
      </c>
      <c r="B52" s="113" t="s">
        <v>189</v>
      </c>
      <c r="C52" s="88">
        <f t="shared" si="0"/>
        <v>378408</v>
      </c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4"/>
      <c r="AD52" s="105">
        <f t="shared" si="1"/>
        <v>378408</v>
      </c>
      <c r="AE52" s="106">
        <v>378408</v>
      </c>
      <c r="AF52" s="107">
        <f>3424.8+98000+41996.8</f>
        <v>143421.6</v>
      </c>
      <c r="AG52" s="77">
        <f t="shared" si="3"/>
        <v>37.90131286864971</v>
      </c>
    </row>
    <row r="53" spans="1:33" ht="27.75">
      <c r="A53" s="20" t="s">
        <v>157</v>
      </c>
      <c r="B53" s="114" t="s">
        <v>140</v>
      </c>
      <c r="C53" s="88">
        <f t="shared" si="0"/>
        <v>67823.44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4"/>
      <c r="AD53" s="105">
        <f t="shared" si="1"/>
        <v>67823.44</v>
      </c>
      <c r="AE53" s="106">
        <v>67823.44</v>
      </c>
      <c r="AF53" s="108"/>
      <c r="AG53" s="77">
        <f t="shared" si="3"/>
        <v>0</v>
      </c>
    </row>
    <row r="54" spans="1:33" ht="27.75">
      <c r="A54" s="20" t="s">
        <v>160</v>
      </c>
      <c r="B54" s="114" t="s">
        <v>191</v>
      </c>
      <c r="C54" s="88">
        <f t="shared" si="0"/>
        <v>170000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4"/>
      <c r="AD54" s="105">
        <f t="shared" si="1"/>
        <v>170000</v>
      </c>
      <c r="AE54" s="106">
        <v>170000</v>
      </c>
      <c r="AF54" s="107">
        <f>3547+93982</f>
        <v>97529</v>
      </c>
      <c r="AG54" s="77">
        <f aca="true" t="shared" si="4" ref="AG54:AG64">AF54/C54*100</f>
        <v>57.37</v>
      </c>
    </row>
    <row r="55" spans="1:33" ht="27.75">
      <c r="A55" s="20" t="s">
        <v>190</v>
      </c>
      <c r="B55" s="114" t="s">
        <v>141</v>
      </c>
      <c r="C55" s="88">
        <f t="shared" si="0"/>
        <v>110473.24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4"/>
      <c r="AD55" s="105">
        <f t="shared" si="1"/>
        <v>110473.24</v>
      </c>
      <c r="AE55" s="106">
        <v>110473.24</v>
      </c>
      <c r="AF55" s="108"/>
      <c r="AG55" s="77">
        <f t="shared" si="4"/>
        <v>0</v>
      </c>
    </row>
    <row r="56" spans="1:33" ht="27.75">
      <c r="A56" s="20" t="s">
        <v>192</v>
      </c>
      <c r="B56" s="114" t="s">
        <v>142</v>
      </c>
      <c r="C56" s="88">
        <f t="shared" si="0"/>
        <v>37506.28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4"/>
      <c r="AD56" s="105">
        <f t="shared" si="1"/>
        <v>37506.28</v>
      </c>
      <c r="AE56" s="106">
        <v>37506.28</v>
      </c>
      <c r="AF56" s="108"/>
      <c r="AG56" s="77">
        <f t="shared" si="4"/>
        <v>0</v>
      </c>
    </row>
    <row r="57" spans="1:33" ht="27.75">
      <c r="A57" s="20" t="s">
        <v>193</v>
      </c>
      <c r="B57" s="114" t="s">
        <v>195</v>
      </c>
      <c r="C57" s="88">
        <f t="shared" si="0"/>
        <v>100000</v>
      </c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4"/>
      <c r="AD57" s="105">
        <f t="shared" si="1"/>
        <v>100000</v>
      </c>
      <c r="AE57" s="106">
        <v>100000</v>
      </c>
      <c r="AF57" s="107">
        <f>3547+51441</f>
        <v>54988</v>
      </c>
      <c r="AG57" s="77">
        <f t="shared" si="4"/>
        <v>54.98800000000001</v>
      </c>
    </row>
    <row r="58" spans="1:33" ht="27.75">
      <c r="A58" s="20" t="s">
        <v>194</v>
      </c>
      <c r="B58" s="114" t="s">
        <v>143</v>
      </c>
      <c r="C58" s="88">
        <f t="shared" si="0"/>
        <v>2700</v>
      </c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4"/>
      <c r="AD58" s="105">
        <f t="shared" si="1"/>
        <v>2700</v>
      </c>
      <c r="AE58" s="106">
        <v>2700</v>
      </c>
      <c r="AF58" s="108"/>
      <c r="AG58" s="77">
        <f t="shared" si="4"/>
        <v>0</v>
      </c>
    </row>
    <row r="59" spans="1:33" ht="27.75">
      <c r="A59" s="20" t="s">
        <v>196</v>
      </c>
      <c r="B59" s="114" t="s">
        <v>144</v>
      </c>
      <c r="C59" s="88">
        <f t="shared" si="0"/>
        <v>3500</v>
      </c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4"/>
      <c r="AD59" s="105">
        <f t="shared" si="1"/>
        <v>3500</v>
      </c>
      <c r="AE59" s="106">
        <v>3500</v>
      </c>
      <c r="AF59" s="108"/>
      <c r="AG59" s="77">
        <f t="shared" si="4"/>
        <v>0</v>
      </c>
    </row>
    <row r="60" spans="1:33" ht="27.75">
      <c r="A60" s="20" t="s">
        <v>197</v>
      </c>
      <c r="B60" s="114" t="s">
        <v>199</v>
      </c>
      <c r="C60" s="88">
        <f t="shared" si="0"/>
        <v>200000</v>
      </c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4"/>
      <c r="AD60" s="105">
        <f t="shared" si="1"/>
        <v>200000</v>
      </c>
      <c r="AE60" s="106">
        <v>200000</v>
      </c>
      <c r="AF60" s="107">
        <f>11257+132120</f>
        <v>143377</v>
      </c>
      <c r="AG60" s="77">
        <f t="shared" si="4"/>
        <v>71.6885</v>
      </c>
    </row>
    <row r="61" spans="1:33" ht="27.75">
      <c r="A61" s="20" t="s">
        <v>198</v>
      </c>
      <c r="B61" s="114" t="s">
        <v>201</v>
      </c>
      <c r="C61" s="88">
        <f t="shared" si="0"/>
        <v>350000</v>
      </c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4"/>
      <c r="AD61" s="105">
        <f t="shared" si="1"/>
        <v>350000</v>
      </c>
      <c r="AE61" s="106">
        <v>350000</v>
      </c>
      <c r="AF61" s="107">
        <v>12264</v>
      </c>
      <c r="AG61" s="77">
        <f t="shared" si="4"/>
        <v>3.504</v>
      </c>
    </row>
    <row r="62" spans="1:33" ht="27.75">
      <c r="A62" s="20" t="s">
        <v>200</v>
      </c>
      <c r="B62" s="114" t="s">
        <v>161</v>
      </c>
      <c r="C62" s="88">
        <f t="shared" si="0"/>
        <v>200000</v>
      </c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4"/>
      <c r="AD62" s="105">
        <f t="shared" si="1"/>
        <v>200000</v>
      </c>
      <c r="AE62" s="106">
        <v>200000</v>
      </c>
      <c r="AF62" s="107">
        <f>14000+128787</f>
        <v>142787</v>
      </c>
      <c r="AG62" s="77">
        <f t="shared" si="4"/>
        <v>71.3935</v>
      </c>
    </row>
    <row r="63" spans="1:33" ht="27.75">
      <c r="A63" s="20" t="s">
        <v>202</v>
      </c>
      <c r="B63" s="114" t="s">
        <v>162</v>
      </c>
      <c r="C63" s="88">
        <f t="shared" si="0"/>
        <v>200000</v>
      </c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4"/>
      <c r="AD63" s="105">
        <f t="shared" si="1"/>
        <v>200000</v>
      </c>
      <c r="AE63" s="106">
        <v>200000</v>
      </c>
      <c r="AF63" s="107">
        <f>14000+128787</f>
        <v>142787</v>
      </c>
      <c r="AG63" s="77">
        <f t="shared" si="4"/>
        <v>71.3935</v>
      </c>
    </row>
    <row r="64" spans="1:33" ht="55.5">
      <c r="A64" s="20" t="s">
        <v>203</v>
      </c>
      <c r="B64" s="52" t="s">
        <v>204</v>
      </c>
      <c r="C64" s="88">
        <f t="shared" si="0"/>
        <v>18900000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18900000</v>
      </c>
      <c r="AE64" s="80">
        <v>18900000</v>
      </c>
      <c r="AF64" s="107">
        <f>2574176.16+727025.16+400166.47</f>
        <v>3701367.79</v>
      </c>
      <c r="AG64" s="77">
        <f t="shared" si="4"/>
        <v>19.58395656084656</v>
      </c>
    </row>
    <row r="65" spans="1:33" ht="15">
      <c r="A65" s="27" t="s">
        <v>84</v>
      </c>
      <c r="B65" s="53" t="s">
        <v>127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3">
        <f>AD65</f>
        <v>7175000</v>
      </c>
      <c r="AF65" s="36">
        <f>AF66</f>
        <v>6763495.19</v>
      </c>
      <c r="AG65" s="76">
        <f t="shared" si="2"/>
        <v>94.26474132404182</v>
      </c>
    </row>
    <row r="66" spans="1:33" ht="55.5">
      <c r="A66" s="20" t="s">
        <v>107</v>
      </c>
      <c r="B66" s="51" t="s">
        <v>81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4">
        <f>AD66</f>
        <v>7175000</v>
      </c>
      <c r="AF66" s="80">
        <f>2994538.8+52872+280044+277828.59+929435.6+877224+84962.4+10565+782249.4+44887.2+370136.2+58752</f>
        <v>6763495.19</v>
      </c>
      <c r="AG66" s="77">
        <f t="shared" si="2"/>
        <v>94.26474132404182</v>
      </c>
    </row>
    <row r="67" spans="1:33" ht="30">
      <c r="A67" s="27" t="s">
        <v>27</v>
      </c>
      <c r="B67" s="53" t="s">
        <v>221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3">
        <f>AD67</f>
        <v>2545000</v>
      </c>
      <c r="AF67" s="36">
        <f>AF68</f>
        <v>1627112</v>
      </c>
      <c r="AG67" s="76">
        <f t="shared" si="2"/>
        <v>63.93367387033398</v>
      </c>
    </row>
    <row r="68" spans="1:33" ht="42">
      <c r="A68" s="20" t="s">
        <v>53</v>
      </c>
      <c r="B68" s="51" t="s">
        <v>82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4">
        <f>AD68</f>
        <v>2545000</v>
      </c>
      <c r="AF68" s="129">
        <f>278748+651313+697051</f>
        <v>1627112</v>
      </c>
      <c r="AG68" s="77">
        <f t="shared" si="2"/>
        <v>63.93367387033398</v>
      </c>
    </row>
    <row r="69" spans="1:33" s="3" customFormat="1" ht="29.25" customHeight="1">
      <c r="A69" s="22" t="s">
        <v>108</v>
      </c>
      <c r="B69" s="54" t="s">
        <v>23</v>
      </c>
      <c r="C69" s="40">
        <f>AC69+AD69</f>
        <v>51818854.68</v>
      </c>
      <c r="D69" s="40">
        <f aca="true" t="shared" si="5" ref="D69:AB69">D70+D77+D83+D87+D94+D103+D106+D115+D117+D120+D121+D124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AC70+AC77+AC83+AC87+AC94+AC103+AC106+AC115+AC117+AC120+AC121+AC124+AC127</f>
        <v>49618854.68</v>
      </c>
      <c r="AD69" s="34">
        <f>AE69</f>
        <v>2200000</v>
      </c>
      <c r="AE69" s="65">
        <f>AE94+AE106</f>
        <v>2200000</v>
      </c>
      <c r="AF69" s="40">
        <f>AF70+AF77+AF83+AF87+AF94+AF103+AF106+AF115+AF117+AF120+AF121+AF124+AF127</f>
        <v>40777089.77</v>
      </c>
      <c r="AG69" s="76">
        <f t="shared" si="2"/>
        <v>78.69160756603584</v>
      </c>
    </row>
    <row r="70" spans="1:33" ht="27.75">
      <c r="A70" s="9" t="s">
        <v>114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6"/>
      <c r="AF70" s="89">
        <f>SUM(AF71:AF76)</f>
        <v>15891012.89</v>
      </c>
      <c r="AG70" s="78">
        <f t="shared" si="2"/>
        <v>89.10266988753838</v>
      </c>
    </row>
    <row r="71" spans="1:33" ht="13.5">
      <c r="A71" s="9"/>
      <c r="B71" s="56" t="s">
        <v>64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7">C71</f>
        <v>739607.49</v>
      </c>
      <c r="AD71" s="16"/>
      <c r="AE71" s="66"/>
      <c r="AF71" s="90">
        <v>711836.19</v>
      </c>
      <c r="AG71" s="79">
        <f t="shared" si="2"/>
        <v>96.24512996751831</v>
      </c>
    </row>
    <row r="72" spans="1:33" ht="27.75">
      <c r="A72" s="9"/>
      <c r="B72" s="56" t="s">
        <v>132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6"/>
      <c r="AF72" s="91">
        <f>455000+314965+130620+343290+97715+339580+98470+273260+131835+305145+214330+338205+124700+417475+51800</f>
        <v>3636390</v>
      </c>
      <c r="AG72" s="79">
        <f t="shared" si="2"/>
        <v>89.7874074074074</v>
      </c>
    </row>
    <row r="73" spans="1:33" ht="13.5">
      <c r="A73" s="9"/>
      <c r="B73" s="56" t="s">
        <v>63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6"/>
      <c r="AF73" s="90">
        <f>2365770.77+938491.55+624657.88+597865.39+521903.53+454645.44+638736.55+719669.99+997233.12+1119173.24</f>
        <v>8978147.46</v>
      </c>
      <c r="AG73" s="79">
        <f t="shared" si="2"/>
        <v>87.33248823175627</v>
      </c>
    </row>
    <row r="74" spans="1:33" ht="27.75">
      <c r="A74" s="9"/>
      <c r="B74" s="56" t="s">
        <v>42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6"/>
      <c r="AF74" s="91">
        <f>46671+2500+4491+51671+51162+4491+2500+46671+4491+46671+4491+46671+5000+24687+4491+30677+2500+4491+24868.9+30677+24866.9+4491+2500+30677+29358.9+2500+30677+24867.9+6991+606+30677+4491+24867.9</f>
        <v>657444.5000000001</v>
      </c>
      <c r="AG74" s="79">
        <f t="shared" si="2"/>
        <v>90.02100987042179</v>
      </c>
    </row>
    <row r="75" spans="1:33" ht="27.75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6"/>
      <c r="AF75" s="91">
        <f>124086+55244.7+44251+76234+44251+44251+38355+47346.24+49686+38383.46+11048.23+45153+35304.93+51458.35+44416.85+39352.44+51678.01+53781.3+44170.62</f>
        <v>938452.13</v>
      </c>
      <c r="AG75" s="79">
        <f t="shared" si="2"/>
        <v>90.93924928897094</v>
      </c>
    </row>
    <row r="76" spans="1:33" ht="13.5">
      <c r="A76" s="9"/>
      <c r="B76" s="56" t="s">
        <v>36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6"/>
      <c r="AF76" s="117">
        <f>165541.2+86398.21+87668.42+90307.93+90518.03+90297.32+90918.07+88215.01+90563.36+88315.06</f>
        <v>968742.6100000001</v>
      </c>
      <c r="AG76" s="79">
        <f t="shared" si="2"/>
        <v>96.66256997176184</v>
      </c>
    </row>
    <row r="77" spans="1:33" ht="13.5">
      <c r="A77" s="9" t="s">
        <v>115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6"/>
      <c r="AF77" s="89">
        <f>SUM(AF78:AF82)</f>
        <v>6547807.03</v>
      </c>
      <c r="AG77" s="78">
        <f t="shared" si="2"/>
        <v>90.93107864088361</v>
      </c>
    </row>
    <row r="78" spans="1:33" ht="13.5">
      <c r="A78" s="9"/>
      <c r="B78" s="56" t="s">
        <v>37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6"/>
      <c r="AF78" s="90">
        <f>195156+87000+174330+87000+260160+58000+70200+58000+139245.91+87000+121680+58000+430434</f>
        <v>1826205.91</v>
      </c>
      <c r="AG78" s="79">
        <f t="shared" si="2"/>
        <v>76.02014578129122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6"/>
      <c r="AF79" s="90">
        <f>135000+33750+27090+11457+172700</f>
        <v>379997</v>
      </c>
      <c r="AG79" s="79">
        <f t="shared" si="2"/>
        <v>99.99921052631578</v>
      </c>
    </row>
    <row r="80" spans="1:33" ht="13.5">
      <c r="A80" s="9"/>
      <c r="B80" s="56" t="s">
        <v>38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6"/>
      <c r="AF80" s="90">
        <f>33207.3+33207.3+33207.3+33207.3+33207.3+33839.82</f>
        <v>199876.32</v>
      </c>
      <c r="AG80" s="79">
        <f t="shared" si="2"/>
        <v>99.93816</v>
      </c>
    </row>
    <row r="81" spans="1:33" ht="13.5">
      <c r="A81" s="9"/>
      <c r="B81" s="56" t="s">
        <v>39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6"/>
      <c r="AF81" s="90">
        <f>45550+62000+60735+53619.08+69575</f>
        <v>291479.08</v>
      </c>
      <c r="AG81" s="79">
        <f aca="true" t="shared" si="9" ref="AG81:AG138">AF81/C81*100</f>
        <v>99.99939618672705</v>
      </c>
    </row>
    <row r="82" spans="1:33" ht="44.25" customHeight="1">
      <c r="A82" s="9"/>
      <c r="B82" s="56" t="s">
        <v>40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6"/>
      <c r="AF82" s="91">
        <f>1017646.61+44880+126065.55+74837.4+57228.6+90245.1+212678.65+329120+256886.6+76800+92446.2+255516.22+121483.9+293790+233460+69813.89+348350+149000</f>
        <v>3850248.72</v>
      </c>
      <c r="AG82" s="79">
        <f t="shared" si="9"/>
        <v>98.04306436816998</v>
      </c>
    </row>
    <row r="83" spans="1:33" ht="27.75">
      <c r="A83" s="9" t="s">
        <v>116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6"/>
      <c r="AF83" s="89">
        <f>SUM(AF84:AF86)</f>
        <v>1528423.35</v>
      </c>
      <c r="AG83" s="78">
        <f t="shared" si="9"/>
        <v>82.64119461439608</v>
      </c>
    </row>
    <row r="84" spans="1:33" ht="13.5">
      <c r="A84" s="9"/>
      <c r="B84" s="56" t="s">
        <v>55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6"/>
      <c r="AF84" s="90">
        <f>581281.86-183335.28+134873.07+214611.3+117069.05+196807.28+113166.31</f>
        <v>1174473.59</v>
      </c>
      <c r="AG84" s="79">
        <f t="shared" si="9"/>
        <v>92.39340809933557</v>
      </c>
    </row>
    <row r="85" spans="1:33" ht="13.5">
      <c r="A85" s="9"/>
      <c r="B85" s="56" t="s">
        <v>56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6"/>
      <c r="AF85" s="90">
        <f>32355.65+32355.65+32355.65+38134.46+15651.44</f>
        <v>150852.85</v>
      </c>
      <c r="AG85" s="79">
        <f t="shared" si="9"/>
        <v>95.84367172742613</v>
      </c>
    </row>
    <row r="86" spans="1:33" ht="13.5">
      <c r="A86" s="9"/>
      <c r="B86" s="56" t="s">
        <v>57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6"/>
      <c r="AF86" s="90">
        <f>31498.87+32966.8+33642.28+34360.05+33352.59+37276.32</f>
        <v>203096.91</v>
      </c>
      <c r="AG86" s="79">
        <f t="shared" si="9"/>
        <v>48.25204486296781</v>
      </c>
    </row>
    <row r="87" spans="1:33" ht="13.5">
      <c r="A87" s="9" t="s">
        <v>117</v>
      </c>
      <c r="B87" s="55" t="s">
        <v>41</v>
      </c>
      <c r="C87" s="41">
        <f>SUM(C88:C93)</f>
        <v>3528133.06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3528133.06</v>
      </c>
      <c r="AD87" s="15"/>
      <c r="AE87" s="66"/>
      <c r="AF87" s="89">
        <f>SUM(AF88:AF93)</f>
        <v>2868125.43</v>
      </c>
      <c r="AG87" s="77">
        <f t="shared" si="9"/>
        <v>81.29300627907725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6"/>
      <c r="AF88" s="116">
        <f>1817091.18+2152.4+111090+12561.5+64077.04+3600</f>
        <v>2010572.1199999999</v>
      </c>
      <c r="AG88" s="79">
        <f t="shared" si="9"/>
        <v>83.24360742354973</v>
      </c>
    </row>
    <row r="89" spans="1:33" ht="46.5" customHeight="1">
      <c r="A89" s="9"/>
      <c r="B89" s="56" t="s">
        <v>9</v>
      </c>
      <c r="C89" s="42">
        <f>781200+180067</f>
        <v>961267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961267</v>
      </c>
      <c r="AD89" s="16"/>
      <c r="AE89" s="66"/>
      <c r="AF89" s="91">
        <f>129802.78+45117.28+9925.9+16132.5+3549.15+50156.48+11034.42+6420+19681.65+42614.5+9375.19+7351.6+8800+22346.5+4916.23+3005.6+40594.85+8930.87+26290+5783.8+42618.43+9398.54+20315+4469.3+39444.64+8671.01+25095+5520.9+41467.49+9129.67+26887.5+5915.25+32080.88+7139.3+2962.83+29886.95</f>
        <v>782831.99</v>
      </c>
      <c r="AG89" s="79">
        <f t="shared" si="9"/>
        <v>81.43751840019475</v>
      </c>
    </row>
    <row r="90" spans="1:33" ht="33.75" customHeight="1">
      <c r="A90" s="9"/>
      <c r="B90" s="56" t="s">
        <v>169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6"/>
      <c r="AF90" s="91">
        <v>34981</v>
      </c>
      <c r="AG90" s="79">
        <f t="shared" si="9"/>
        <v>99.94571428571429</v>
      </c>
    </row>
    <row r="91" spans="1:33" ht="24.75" customHeight="1">
      <c r="A91" s="9"/>
      <c r="B91" s="56" t="s">
        <v>170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6"/>
      <c r="AF91" s="91"/>
      <c r="AG91" s="79">
        <f t="shared" si="9"/>
        <v>0</v>
      </c>
    </row>
    <row r="92" spans="1:33" ht="13.5">
      <c r="A92" s="9"/>
      <c r="B92" s="56" t="s">
        <v>58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6"/>
      <c r="AF92" s="90">
        <f>7534.82+5001.66+5251.05+4496.36+3259.78+4952.46+857.47</f>
        <v>31353.6</v>
      </c>
      <c r="AG92" s="79">
        <f t="shared" si="9"/>
        <v>78.97632241813601</v>
      </c>
    </row>
    <row r="93" spans="1:33" ht="13.5">
      <c r="A93" s="9"/>
      <c r="B93" s="56" t="s">
        <v>59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7"/>
      <c r="AF93" s="90">
        <f>1230.14+830.15+486.74+512.5+803.51+898.5+1040.49+756.49+729.73+1098.47</f>
        <v>8386.72</v>
      </c>
      <c r="AG93" s="79">
        <f t="shared" si="9"/>
        <v>26.126853582554517</v>
      </c>
    </row>
    <row r="94" spans="1:33" ht="13.5">
      <c r="A94" s="9" t="s">
        <v>118</v>
      </c>
      <c r="B94" s="55" t="s">
        <v>6</v>
      </c>
      <c r="C94" s="41">
        <f>AC94+AD94</f>
        <v>5100000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AC95+AC96+AC97+AC98+AC102</f>
        <v>3600000</v>
      </c>
      <c r="AD94" s="35">
        <f>AD95+AD96+AD97+AD98</f>
        <v>1500000</v>
      </c>
      <c r="AE94" s="68">
        <f>AD94</f>
        <v>1500000</v>
      </c>
      <c r="AF94" s="89">
        <f>AF98+AF97+AF96</f>
        <v>2579611.2</v>
      </c>
      <c r="AG94" s="78">
        <f t="shared" si="9"/>
        <v>50.580611764705885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69"/>
      <c r="AF95" s="90"/>
      <c r="AG95" s="79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69"/>
      <c r="AF96" s="90">
        <v>983400</v>
      </c>
      <c r="AG96" s="79">
        <f t="shared" si="9"/>
        <v>98.34</v>
      </c>
    </row>
    <row r="97" spans="1:33" ht="13.5">
      <c r="A97" s="9"/>
      <c r="B97" s="57" t="s">
        <v>111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0">
        <f>AD97</f>
        <v>1500000</v>
      </c>
      <c r="AF97" s="90">
        <v>1496484</v>
      </c>
      <c r="AG97" s="79">
        <f t="shared" si="9"/>
        <v>99.76559999999999</v>
      </c>
    </row>
    <row r="98" spans="1:33" ht="18" customHeight="1">
      <c r="A98" s="9"/>
      <c r="B98" s="58" t="s">
        <v>128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69"/>
      <c r="AF98" s="90">
        <v>99727.2</v>
      </c>
      <c r="AG98" s="79">
        <f t="shared" si="9"/>
        <v>99.7272</v>
      </c>
    </row>
    <row r="99" spans="1:33" ht="13.5" customHeight="1" hidden="1">
      <c r="A99" s="9"/>
      <c r="B99" s="57"/>
      <c r="C99" s="42">
        <f>AC99</f>
        <v>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0"/>
      <c r="AF99" s="92"/>
      <c r="AG99" s="79" t="e">
        <f t="shared" si="9"/>
        <v>#DIV/0!</v>
      </c>
    </row>
    <row r="100" spans="1:33" ht="14.25" customHeight="1" hidden="1" thickBot="1">
      <c r="A100" s="9"/>
      <c r="B100" s="56"/>
      <c r="C100" s="42">
        <f>AC100</f>
        <v>100000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7"/>
      <c r="AF100" s="92"/>
      <c r="AG100" s="79">
        <f t="shared" si="9"/>
        <v>99.7272</v>
      </c>
    </row>
    <row r="101" spans="1:33" ht="13.5" customHeight="1" hidden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2"/>
      <c r="AG101" s="79">
        <f t="shared" si="9"/>
        <v>99.7272</v>
      </c>
    </row>
    <row r="102" spans="1:33" ht="13.5" customHeight="1">
      <c r="A102" s="9"/>
      <c r="B102" s="56" t="s">
        <v>208</v>
      </c>
      <c r="C102" s="42">
        <f>AC102</f>
        <v>2500000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2">
        <v>2500000</v>
      </c>
      <c r="AD102" s="45"/>
      <c r="AE102" s="67"/>
      <c r="AF102" s="92"/>
      <c r="AG102" s="79">
        <f t="shared" si="9"/>
        <v>0</v>
      </c>
    </row>
    <row r="103" spans="1:33" ht="29.25" customHeight="1">
      <c r="A103" s="9" t="s">
        <v>119</v>
      </c>
      <c r="B103" s="55" t="s">
        <v>163</v>
      </c>
      <c r="C103" s="41">
        <f>SUM(C104:C105)</f>
        <v>331841.32</v>
      </c>
      <c r="D103" s="41">
        <f aca="true" t="shared" si="13" ref="D103:AB103">SUM(D104:D105)</f>
        <v>0</v>
      </c>
      <c r="E103" s="41">
        <f t="shared" si="13"/>
        <v>0</v>
      </c>
      <c r="F103" s="41">
        <f t="shared" si="13"/>
        <v>0</v>
      </c>
      <c r="G103" s="41">
        <f t="shared" si="13"/>
        <v>0</v>
      </c>
      <c r="H103" s="41">
        <f t="shared" si="13"/>
        <v>0</v>
      </c>
      <c r="I103" s="41">
        <f t="shared" si="13"/>
        <v>0</v>
      </c>
      <c r="J103" s="41">
        <f t="shared" si="13"/>
        <v>0</v>
      </c>
      <c r="K103" s="41">
        <f t="shared" si="13"/>
        <v>0</v>
      </c>
      <c r="L103" s="41">
        <f t="shared" si="13"/>
        <v>0</v>
      </c>
      <c r="M103" s="41">
        <f t="shared" si="13"/>
        <v>0</v>
      </c>
      <c r="N103" s="41">
        <f t="shared" si="13"/>
        <v>0</v>
      </c>
      <c r="O103" s="41">
        <f t="shared" si="13"/>
        <v>0</v>
      </c>
      <c r="P103" s="41">
        <f t="shared" si="13"/>
        <v>0</v>
      </c>
      <c r="Q103" s="41">
        <f t="shared" si="13"/>
        <v>0</v>
      </c>
      <c r="R103" s="41">
        <f t="shared" si="13"/>
        <v>0</v>
      </c>
      <c r="S103" s="41">
        <f t="shared" si="13"/>
        <v>0</v>
      </c>
      <c r="T103" s="41">
        <f t="shared" si="13"/>
        <v>0</v>
      </c>
      <c r="U103" s="41">
        <f t="shared" si="13"/>
        <v>0</v>
      </c>
      <c r="V103" s="41">
        <f t="shared" si="13"/>
        <v>0</v>
      </c>
      <c r="W103" s="41">
        <f t="shared" si="13"/>
        <v>0</v>
      </c>
      <c r="X103" s="41">
        <f t="shared" si="13"/>
        <v>0</v>
      </c>
      <c r="Y103" s="41">
        <f t="shared" si="13"/>
        <v>0</v>
      </c>
      <c r="Z103" s="41">
        <f t="shared" si="13"/>
        <v>0</v>
      </c>
      <c r="AA103" s="41">
        <f t="shared" si="13"/>
        <v>0</v>
      </c>
      <c r="AB103" s="41">
        <f t="shared" si="13"/>
        <v>0</v>
      </c>
      <c r="AC103" s="41">
        <f t="shared" si="7"/>
        <v>331841.32</v>
      </c>
      <c r="AD103" s="46"/>
      <c r="AE103" s="67"/>
      <c r="AF103" s="89">
        <f>SUM(AF104:AF105)</f>
        <v>331841.31</v>
      </c>
      <c r="AG103" s="79">
        <f t="shared" si="9"/>
        <v>99.99999698651149</v>
      </c>
    </row>
    <row r="104" spans="1:33" ht="13.5">
      <c r="A104" s="9"/>
      <c r="B104" s="56" t="s">
        <v>11</v>
      </c>
      <c r="C104" s="42">
        <v>250041.32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250041.32</v>
      </c>
      <c r="AD104" s="33"/>
      <c r="AE104" s="67"/>
      <c r="AF104" s="91">
        <f>41185.37+20592.68+20592.69+20592.68+20592.68+21080.87+21080.87+21080.87+21080.87+42161.74</f>
        <v>250041.31999999998</v>
      </c>
      <c r="AG104" s="79">
        <f t="shared" si="9"/>
        <v>99.99999999999999</v>
      </c>
    </row>
    <row r="105" spans="1:33" ht="32.25" customHeight="1">
      <c r="A105" s="9"/>
      <c r="B105" s="56" t="s">
        <v>12</v>
      </c>
      <c r="C105" s="42">
        <v>81800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2">
        <f t="shared" si="7"/>
        <v>81800</v>
      </c>
      <c r="AD105" s="33"/>
      <c r="AE105" s="67"/>
      <c r="AF105" s="91">
        <f>52000+14522.25+15277.74</f>
        <v>81799.99</v>
      </c>
      <c r="AG105" s="79">
        <f t="shared" si="9"/>
        <v>99.99998777506113</v>
      </c>
    </row>
    <row r="106" spans="1:33" ht="13.5">
      <c r="A106" s="9" t="s">
        <v>120</v>
      </c>
      <c r="B106" s="55" t="s">
        <v>21</v>
      </c>
      <c r="C106" s="41">
        <f>AC106+AD106</f>
        <v>13183892.32</v>
      </c>
      <c r="D106" s="41">
        <f aca="true" t="shared" si="14" ref="D106:AB106">SUM(D107:D112)</f>
        <v>0</v>
      </c>
      <c r="E106" s="41">
        <f t="shared" si="14"/>
        <v>0</v>
      </c>
      <c r="F106" s="41">
        <f t="shared" si="14"/>
        <v>0</v>
      </c>
      <c r="G106" s="41">
        <f t="shared" si="14"/>
        <v>0</v>
      </c>
      <c r="H106" s="41">
        <f t="shared" si="14"/>
        <v>0</v>
      </c>
      <c r="I106" s="41">
        <f t="shared" si="14"/>
        <v>0</v>
      </c>
      <c r="J106" s="41">
        <f t="shared" si="14"/>
        <v>0</v>
      </c>
      <c r="K106" s="41">
        <f t="shared" si="14"/>
        <v>0</v>
      </c>
      <c r="L106" s="41">
        <f t="shared" si="14"/>
        <v>0</v>
      </c>
      <c r="M106" s="41">
        <f t="shared" si="14"/>
        <v>0</v>
      </c>
      <c r="N106" s="41">
        <f t="shared" si="14"/>
        <v>0</v>
      </c>
      <c r="O106" s="41">
        <f t="shared" si="14"/>
        <v>0</v>
      </c>
      <c r="P106" s="41">
        <f t="shared" si="14"/>
        <v>0</v>
      </c>
      <c r="Q106" s="41">
        <f t="shared" si="14"/>
        <v>0</v>
      </c>
      <c r="R106" s="41">
        <f t="shared" si="14"/>
        <v>0</v>
      </c>
      <c r="S106" s="41">
        <f t="shared" si="14"/>
        <v>0</v>
      </c>
      <c r="T106" s="41">
        <f t="shared" si="14"/>
        <v>0</v>
      </c>
      <c r="U106" s="41">
        <f t="shared" si="14"/>
        <v>0</v>
      </c>
      <c r="V106" s="41">
        <f t="shared" si="14"/>
        <v>0</v>
      </c>
      <c r="W106" s="41">
        <f t="shared" si="14"/>
        <v>0</v>
      </c>
      <c r="X106" s="41">
        <f t="shared" si="14"/>
        <v>0</v>
      </c>
      <c r="Y106" s="41">
        <f t="shared" si="14"/>
        <v>0</v>
      </c>
      <c r="Z106" s="41">
        <f t="shared" si="14"/>
        <v>0</v>
      </c>
      <c r="AA106" s="41">
        <f t="shared" si="14"/>
        <v>0</v>
      </c>
      <c r="AB106" s="41">
        <f t="shared" si="14"/>
        <v>0</v>
      </c>
      <c r="AC106" s="41">
        <f>AC107+AC112+AC113+AC114</f>
        <v>12483892.32</v>
      </c>
      <c r="AD106" s="41">
        <f>AD107+AD112+AD113+AD114</f>
        <v>700000</v>
      </c>
      <c r="AE106" s="41">
        <f>AE107+AE112+AE113+AE114</f>
        <v>700000</v>
      </c>
      <c r="AF106" s="89">
        <f>AF107+AF112+AF113+AF114</f>
        <v>10012832.27</v>
      </c>
      <c r="AG106" s="78">
        <f t="shared" si="9"/>
        <v>75.94746700722446</v>
      </c>
    </row>
    <row r="107" spans="1:33" ht="46.5" customHeight="1">
      <c r="A107" s="9"/>
      <c r="B107" s="56" t="s">
        <v>215</v>
      </c>
      <c r="C107" s="42">
        <f>8326507.14+1750000+1400000+198000+579285.18</f>
        <v>12253792.32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 t="shared" si="7"/>
        <v>12253792.32</v>
      </c>
      <c r="AD107" s="33"/>
      <c r="AE107" s="69"/>
      <c r="AF107" s="91">
        <f>8940416.65+1921.66+16748.16+400726+11402.35+423487.01</f>
        <v>9794701.83</v>
      </c>
      <c r="AG107" s="79">
        <f t="shared" si="9"/>
        <v>79.93200451107367</v>
      </c>
    </row>
    <row r="108" spans="1:33" ht="39" customHeight="1">
      <c r="A108" s="9"/>
      <c r="B108" s="130" t="s">
        <v>220</v>
      </c>
      <c r="C108" s="42">
        <f>15000</f>
        <v>15000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15000</v>
      </c>
      <c r="AD108" s="33"/>
      <c r="AE108" s="69"/>
      <c r="AF108" s="91"/>
      <c r="AG108" s="79">
        <f t="shared" si="9"/>
        <v>0</v>
      </c>
    </row>
    <row r="109" spans="1:33" ht="34.5" customHeight="1">
      <c r="A109" s="9"/>
      <c r="B109" s="130" t="s">
        <v>216</v>
      </c>
      <c r="C109" s="42">
        <f>50000</f>
        <v>50000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 t="shared" si="7"/>
        <v>50000</v>
      </c>
      <c r="AD109" s="33"/>
      <c r="AE109" s="69"/>
      <c r="AF109" s="91"/>
      <c r="AG109" s="79">
        <f t="shared" si="9"/>
        <v>0</v>
      </c>
    </row>
    <row r="110" spans="1:33" ht="27.75" customHeight="1">
      <c r="A110" s="9"/>
      <c r="B110" s="130" t="s">
        <v>217</v>
      </c>
      <c r="C110" s="42">
        <v>40000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>
        <f t="shared" si="7"/>
        <v>40000</v>
      </c>
      <c r="AD110" s="33"/>
      <c r="AE110" s="69"/>
      <c r="AF110" s="91"/>
      <c r="AG110" s="79">
        <f t="shared" si="9"/>
        <v>0</v>
      </c>
    </row>
    <row r="111" spans="1:33" ht="36" customHeight="1">
      <c r="A111" s="9"/>
      <c r="B111" s="130" t="s">
        <v>219</v>
      </c>
      <c r="C111" s="42">
        <v>234000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234000</v>
      </c>
      <c r="AD111" s="33"/>
      <c r="AE111" s="69"/>
      <c r="AF111" s="91"/>
      <c r="AG111" s="79">
        <f t="shared" si="9"/>
        <v>0</v>
      </c>
    </row>
    <row r="112" spans="1:33" ht="42">
      <c r="A112" s="9"/>
      <c r="B112" s="56" t="s">
        <v>13</v>
      </c>
      <c r="C112" s="42">
        <v>150000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2">
        <f>C112</f>
        <v>150000</v>
      </c>
      <c r="AD112" s="16"/>
      <c r="AE112" s="71"/>
      <c r="AF112" s="91">
        <f>23789.68+114240.76</f>
        <v>138030.44</v>
      </c>
      <c r="AG112" s="79">
        <f t="shared" si="9"/>
        <v>92.02029333333334</v>
      </c>
    </row>
    <row r="113" spans="1:33" ht="13.5">
      <c r="A113" s="9"/>
      <c r="B113" s="26" t="s">
        <v>112</v>
      </c>
      <c r="C113" s="42">
        <f>AD113</f>
        <v>700000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/>
      <c r="AD113" s="32">
        <v>700000</v>
      </c>
      <c r="AE113" s="72">
        <f>AD113</f>
        <v>700000</v>
      </c>
      <c r="AF113" s="90"/>
      <c r="AG113" s="79">
        <f t="shared" si="9"/>
        <v>0</v>
      </c>
    </row>
    <row r="114" spans="1:33" ht="19.5" customHeight="1">
      <c r="A114" s="9"/>
      <c r="B114" s="56" t="s">
        <v>158</v>
      </c>
      <c r="C114" s="42">
        <f>AD114+AC114</f>
        <v>80100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60">
        <v>80100</v>
      </c>
      <c r="AD114" s="32"/>
      <c r="AE114" s="72"/>
      <c r="AF114" s="91">
        <v>80100</v>
      </c>
      <c r="AG114" s="79">
        <f t="shared" si="9"/>
        <v>100</v>
      </c>
    </row>
    <row r="115" spans="1:33" ht="27.75">
      <c r="A115" s="9" t="s">
        <v>121</v>
      </c>
      <c r="B115" s="55" t="s">
        <v>46</v>
      </c>
      <c r="C115" s="41">
        <f>SUM(C116:C116)</f>
        <v>121704.97</v>
      </c>
      <c r="D115" s="41">
        <f aca="true" t="shared" si="15" ref="D115:AB115">SUM(D116:D116)</f>
        <v>0</v>
      </c>
      <c r="E115" s="41">
        <f t="shared" si="15"/>
        <v>0</v>
      </c>
      <c r="F115" s="41">
        <f t="shared" si="15"/>
        <v>0</v>
      </c>
      <c r="G115" s="41">
        <f t="shared" si="15"/>
        <v>0</v>
      </c>
      <c r="H115" s="41">
        <f t="shared" si="15"/>
        <v>0</v>
      </c>
      <c r="I115" s="41">
        <f t="shared" si="15"/>
        <v>0</v>
      </c>
      <c r="J115" s="41">
        <f t="shared" si="15"/>
        <v>0</v>
      </c>
      <c r="K115" s="41">
        <f t="shared" si="15"/>
        <v>0</v>
      </c>
      <c r="L115" s="41">
        <f t="shared" si="15"/>
        <v>0</v>
      </c>
      <c r="M115" s="41">
        <f t="shared" si="15"/>
        <v>0</v>
      </c>
      <c r="N115" s="41">
        <f t="shared" si="15"/>
        <v>0</v>
      </c>
      <c r="O115" s="41">
        <f t="shared" si="15"/>
        <v>0</v>
      </c>
      <c r="P115" s="41">
        <f t="shared" si="15"/>
        <v>0</v>
      </c>
      <c r="Q115" s="41">
        <f t="shared" si="15"/>
        <v>0</v>
      </c>
      <c r="R115" s="41">
        <f t="shared" si="15"/>
        <v>0</v>
      </c>
      <c r="S115" s="41">
        <f t="shared" si="15"/>
        <v>0</v>
      </c>
      <c r="T115" s="41">
        <f t="shared" si="15"/>
        <v>0</v>
      </c>
      <c r="U115" s="41">
        <f t="shared" si="15"/>
        <v>0</v>
      </c>
      <c r="V115" s="41">
        <f t="shared" si="15"/>
        <v>0</v>
      </c>
      <c r="W115" s="41">
        <f t="shared" si="15"/>
        <v>0</v>
      </c>
      <c r="X115" s="41">
        <f t="shared" si="15"/>
        <v>0</v>
      </c>
      <c r="Y115" s="41">
        <f t="shared" si="15"/>
        <v>0</v>
      </c>
      <c r="Z115" s="41">
        <f t="shared" si="15"/>
        <v>0</v>
      </c>
      <c r="AA115" s="41">
        <f t="shared" si="15"/>
        <v>0</v>
      </c>
      <c r="AB115" s="41">
        <f t="shared" si="15"/>
        <v>0</v>
      </c>
      <c r="AC115" s="41">
        <f t="shared" si="7"/>
        <v>121704.97</v>
      </c>
      <c r="AD115" s="15"/>
      <c r="AE115" s="66"/>
      <c r="AF115" s="89">
        <f>SUM(AF116:AF116)</f>
        <v>119004</v>
      </c>
      <c r="AG115" s="78">
        <f t="shared" si="9"/>
        <v>97.78072333447024</v>
      </c>
    </row>
    <row r="116" spans="1:33" ht="23.25" customHeight="1">
      <c r="A116" s="9"/>
      <c r="B116" s="56" t="s">
        <v>47</v>
      </c>
      <c r="C116" s="42">
        <f>102000+19704.97</f>
        <v>121704.97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2">
        <f t="shared" si="7"/>
        <v>121704.97</v>
      </c>
      <c r="AD116" s="16"/>
      <c r="AE116" s="66"/>
      <c r="AF116" s="91">
        <f>99616.15+19387.85</f>
        <v>119004</v>
      </c>
      <c r="AG116" s="79">
        <f t="shared" si="9"/>
        <v>97.78072333447024</v>
      </c>
    </row>
    <row r="117" spans="1:33" ht="13.5">
      <c r="A117" s="9" t="s">
        <v>122</v>
      </c>
      <c r="B117" s="55" t="s">
        <v>1</v>
      </c>
      <c r="C117" s="41">
        <f>SUM(C118:C119)</f>
        <v>851133.72</v>
      </c>
      <c r="D117" s="41">
        <f aca="true" t="shared" si="16" ref="D117:AB117">SUM(D118:D119)</f>
        <v>0</v>
      </c>
      <c r="E117" s="41">
        <f t="shared" si="16"/>
        <v>0</v>
      </c>
      <c r="F117" s="41">
        <f t="shared" si="16"/>
        <v>0</v>
      </c>
      <c r="G117" s="41">
        <f t="shared" si="16"/>
        <v>0</v>
      </c>
      <c r="H117" s="41">
        <f t="shared" si="16"/>
        <v>0</v>
      </c>
      <c r="I117" s="41">
        <f t="shared" si="16"/>
        <v>0</v>
      </c>
      <c r="J117" s="41">
        <f t="shared" si="16"/>
        <v>0</v>
      </c>
      <c r="K117" s="41">
        <f t="shared" si="16"/>
        <v>0</v>
      </c>
      <c r="L117" s="41">
        <f t="shared" si="16"/>
        <v>0</v>
      </c>
      <c r="M117" s="41">
        <f t="shared" si="16"/>
        <v>0</v>
      </c>
      <c r="N117" s="41">
        <f t="shared" si="16"/>
        <v>0</v>
      </c>
      <c r="O117" s="41">
        <f t="shared" si="16"/>
        <v>0</v>
      </c>
      <c r="P117" s="41">
        <f t="shared" si="16"/>
        <v>0</v>
      </c>
      <c r="Q117" s="41">
        <f t="shared" si="16"/>
        <v>0</v>
      </c>
      <c r="R117" s="41">
        <f t="shared" si="16"/>
        <v>0</v>
      </c>
      <c r="S117" s="41">
        <f t="shared" si="16"/>
        <v>0</v>
      </c>
      <c r="T117" s="41">
        <f t="shared" si="16"/>
        <v>0</v>
      </c>
      <c r="U117" s="41">
        <f t="shared" si="16"/>
        <v>0</v>
      </c>
      <c r="V117" s="41">
        <f t="shared" si="16"/>
        <v>0</v>
      </c>
      <c r="W117" s="41">
        <f t="shared" si="16"/>
        <v>0</v>
      </c>
      <c r="X117" s="41">
        <f t="shared" si="16"/>
        <v>0</v>
      </c>
      <c r="Y117" s="41">
        <f t="shared" si="16"/>
        <v>0</v>
      </c>
      <c r="Z117" s="41">
        <f t="shared" si="16"/>
        <v>0</v>
      </c>
      <c r="AA117" s="41">
        <f t="shared" si="16"/>
        <v>0</v>
      </c>
      <c r="AB117" s="41">
        <f t="shared" si="16"/>
        <v>0</v>
      </c>
      <c r="AC117" s="41">
        <f t="shared" si="7"/>
        <v>851133.72</v>
      </c>
      <c r="AD117" s="15"/>
      <c r="AE117" s="66"/>
      <c r="AF117" s="89">
        <f>SUM(AF118:AF119)</f>
        <v>762317.8600000001</v>
      </c>
      <c r="AG117" s="78">
        <f t="shared" si="9"/>
        <v>89.56499338317839</v>
      </c>
    </row>
    <row r="118" spans="1:33" ht="13.5">
      <c r="A118" s="9"/>
      <c r="B118" s="56" t="s">
        <v>60</v>
      </c>
      <c r="C118" s="42">
        <v>751133.72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751133.72</v>
      </c>
      <c r="AD118" s="16"/>
      <c r="AE118" s="66"/>
      <c r="AF118" s="90">
        <f>489369.46+67184.23+178391.37</f>
        <v>734945.06</v>
      </c>
      <c r="AG118" s="79">
        <f t="shared" si="9"/>
        <v>97.84476990328702</v>
      </c>
    </row>
    <row r="119" spans="1:33" ht="13.5">
      <c r="A119" s="9"/>
      <c r="B119" s="56" t="s">
        <v>31</v>
      </c>
      <c r="C119" s="42">
        <v>100000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2">
        <f t="shared" si="7"/>
        <v>100000</v>
      </c>
      <c r="AD119" s="16"/>
      <c r="AE119" s="66"/>
      <c r="AF119" s="90">
        <f>6764.94+4155.7+1905.74+2325.52+2271.44+3547.54+3472.67+1364.06+1565.19</f>
        <v>27372.800000000003</v>
      </c>
      <c r="AG119" s="79">
        <f t="shared" si="9"/>
        <v>27.3728</v>
      </c>
    </row>
    <row r="120" spans="1:33" ht="13.5">
      <c r="A120" s="9" t="s">
        <v>123</v>
      </c>
      <c r="B120" s="55" t="s">
        <v>32</v>
      </c>
      <c r="C120" s="41">
        <v>188376.21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41">
        <f t="shared" si="7"/>
        <v>188376.21</v>
      </c>
      <c r="AD120" s="16"/>
      <c r="AE120" s="66"/>
      <c r="AF120" s="89">
        <v>40000</v>
      </c>
      <c r="AG120" s="79">
        <f t="shared" si="9"/>
        <v>21.2341038180989</v>
      </c>
    </row>
    <row r="121" spans="1:33" ht="13.5">
      <c r="A121" s="9" t="s">
        <v>124</v>
      </c>
      <c r="B121" s="55" t="s">
        <v>165</v>
      </c>
      <c r="C121" s="41">
        <f>SUM(C122:C123)</f>
        <v>97441</v>
      </c>
      <c r="D121" s="41">
        <f aca="true" t="shared" si="17" ref="D121:AB121">SUM(D122:D123)</f>
        <v>0</v>
      </c>
      <c r="E121" s="41">
        <f t="shared" si="17"/>
        <v>0</v>
      </c>
      <c r="F121" s="41">
        <f t="shared" si="17"/>
        <v>0</v>
      </c>
      <c r="G121" s="41">
        <f t="shared" si="17"/>
        <v>0</v>
      </c>
      <c r="H121" s="41">
        <f t="shared" si="17"/>
        <v>0</v>
      </c>
      <c r="I121" s="41">
        <f t="shared" si="17"/>
        <v>0</v>
      </c>
      <c r="J121" s="41">
        <f t="shared" si="17"/>
        <v>0</v>
      </c>
      <c r="K121" s="41">
        <f t="shared" si="17"/>
        <v>0</v>
      </c>
      <c r="L121" s="41">
        <f t="shared" si="17"/>
        <v>0</v>
      </c>
      <c r="M121" s="41">
        <f t="shared" si="17"/>
        <v>0</v>
      </c>
      <c r="N121" s="41">
        <f t="shared" si="17"/>
        <v>0</v>
      </c>
      <c r="O121" s="41">
        <f t="shared" si="17"/>
        <v>0</v>
      </c>
      <c r="P121" s="41">
        <f t="shared" si="17"/>
        <v>0</v>
      </c>
      <c r="Q121" s="41">
        <f t="shared" si="17"/>
        <v>0</v>
      </c>
      <c r="R121" s="41">
        <f t="shared" si="17"/>
        <v>0</v>
      </c>
      <c r="S121" s="41">
        <f t="shared" si="17"/>
        <v>0</v>
      </c>
      <c r="T121" s="41">
        <f t="shared" si="17"/>
        <v>0</v>
      </c>
      <c r="U121" s="41">
        <f t="shared" si="17"/>
        <v>0</v>
      </c>
      <c r="V121" s="41">
        <f t="shared" si="17"/>
        <v>0</v>
      </c>
      <c r="W121" s="41">
        <f t="shared" si="17"/>
        <v>0</v>
      </c>
      <c r="X121" s="41">
        <f t="shared" si="17"/>
        <v>0</v>
      </c>
      <c r="Y121" s="41">
        <f t="shared" si="17"/>
        <v>0</v>
      </c>
      <c r="Z121" s="41">
        <f t="shared" si="17"/>
        <v>0</v>
      </c>
      <c r="AA121" s="41">
        <f t="shared" si="17"/>
        <v>0</v>
      </c>
      <c r="AB121" s="41">
        <f t="shared" si="17"/>
        <v>0</v>
      </c>
      <c r="AC121" s="41">
        <f t="shared" si="7"/>
        <v>97441</v>
      </c>
      <c r="AD121" s="48"/>
      <c r="AE121" s="66"/>
      <c r="AF121" s="89">
        <f>SUM(AF122:AF123)</f>
        <v>93696.51999999999</v>
      </c>
      <c r="AG121" s="78">
        <f t="shared" si="9"/>
        <v>96.15718229492718</v>
      </c>
    </row>
    <row r="122" spans="1:33" ht="13.5">
      <c r="A122" s="9"/>
      <c r="B122" s="56" t="s">
        <v>33</v>
      </c>
      <c r="C122" s="42">
        <v>93250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2">
        <f t="shared" si="7"/>
        <v>93250</v>
      </c>
      <c r="AD122" s="16"/>
      <c r="AE122" s="66"/>
      <c r="AF122" s="90">
        <f>27053.44-4752.8+21602.9+20816.5+14571.55+10371.2</f>
        <v>89662.79</v>
      </c>
      <c r="AG122" s="79">
        <f t="shared" si="9"/>
        <v>96.15312600536193</v>
      </c>
    </row>
    <row r="123" spans="1:33" ht="13.5">
      <c r="A123" s="9"/>
      <c r="B123" s="56" t="s">
        <v>61</v>
      </c>
      <c r="C123" s="42">
        <v>4191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4191</v>
      </c>
      <c r="AD123" s="16"/>
      <c r="AE123" s="66"/>
      <c r="AF123" s="90">
        <f>400.51+657.98+772.42+986.98+1215.84</f>
        <v>4033.7299999999996</v>
      </c>
      <c r="AG123" s="79">
        <f t="shared" si="9"/>
        <v>96.24743497971843</v>
      </c>
    </row>
    <row r="124" spans="1:33" ht="13.5">
      <c r="A124" s="9" t="s">
        <v>125</v>
      </c>
      <c r="B124" s="55" t="s">
        <v>164</v>
      </c>
      <c r="C124" s="41">
        <f>SUM(C125:C126)</f>
        <v>31520</v>
      </c>
      <c r="D124" s="41">
        <f aca="true" t="shared" si="18" ref="D124:AB124">SUM(D125:D126)</f>
        <v>0</v>
      </c>
      <c r="E124" s="41">
        <f t="shared" si="18"/>
        <v>0</v>
      </c>
      <c r="F124" s="41">
        <f t="shared" si="18"/>
        <v>0</v>
      </c>
      <c r="G124" s="41">
        <f t="shared" si="18"/>
        <v>0</v>
      </c>
      <c r="H124" s="41">
        <f t="shared" si="18"/>
        <v>0</v>
      </c>
      <c r="I124" s="41">
        <f t="shared" si="18"/>
        <v>0</v>
      </c>
      <c r="J124" s="41">
        <f t="shared" si="18"/>
        <v>0</v>
      </c>
      <c r="K124" s="41">
        <f t="shared" si="18"/>
        <v>0</v>
      </c>
      <c r="L124" s="41">
        <f t="shared" si="18"/>
        <v>0</v>
      </c>
      <c r="M124" s="41">
        <f t="shared" si="18"/>
        <v>0</v>
      </c>
      <c r="N124" s="41">
        <f t="shared" si="18"/>
        <v>0</v>
      </c>
      <c r="O124" s="41">
        <f t="shared" si="18"/>
        <v>0</v>
      </c>
      <c r="P124" s="41">
        <f t="shared" si="18"/>
        <v>0</v>
      </c>
      <c r="Q124" s="41">
        <f t="shared" si="18"/>
        <v>0</v>
      </c>
      <c r="R124" s="41">
        <f t="shared" si="18"/>
        <v>0</v>
      </c>
      <c r="S124" s="41">
        <f t="shared" si="18"/>
        <v>0</v>
      </c>
      <c r="T124" s="41">
        <f t="shared" si="18"/>
        <v>0</v>
      </c>
      <c r="U124" s="41">
        <f t="shared" si="18"/>
        <v>0</v>
      </c>
      <c r="V124" s="41">
        <f t="shared" si="18"/>
        <v>0</v>
      </c>
      <c r="W124" s="41">
        <f t="shared" si="18"/>
        <v>0</v>
      </c>
      <c r="X124" s="41">
        <f t="shared" si="18"/>
        <v>0</v>
      </c>
      <c r="Y124" s="41">
        <f t="shared" si="18"/>
        <v>0</v>
      </c>
      <c r="Z124" s="41">
        <f t="shared" si="18"/>
        <v>0</v>
      </c>
      <c r="AA124" s="41">
        <f t="shared" si="18"/>
        <v>0</v>
      </c>
      <c r="AB124" s="41">
        <f t="shared" si="18"/>
        <v>0</v>
      </c>
      <c r="AC124" s="41">
        <f t="shared" si="7"/>
        <v>31520</v>
      </c>
      <c r="AD124" s="16"/>
      <c r="AE124" s="66"/>
      <c r="AF124" s="89">
        <f>SUM(AF125:AF126)</f>
        <v>2417.91</v>
      </c>
      <c r="AG124" s="78">
        <f t="shared" si="9"/>
        <v>7.671034263959391</v>
      </c>
    </row>
    <row r="125" spans="1:33" ht="13.5">
      <c r="A125" s="9"/>
      <c r="B125" s="56" t="s">
        <v>34</v>
      </c>
      <c r="C125" s="42">
        <v>5331.2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2">
        <f t="shared" si="7"/>
        <v>5331.2</v>
      </c>
      <c r="AD125" s="16"/>
      <c r="AE125" s="66"/>
      <c r="AF125" s="90">
        <f>570.07+1786.59</f>
        <v>2356.66</v>
      </c>
      <c r="AG125" s="79">
        <f t="shared" si="9"/>
        <v>44.20505702280912</v>
      </c>
    </row>
    <row r="126" spans="1:33" ht="13.5">
      <c r="A126" s="9"/>
      <c r="B126" s="56" t="s">
        <v>62</v>
      </c>
      <c r="C126" s="42">
        <v>26188.8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2">
        <f t="shared" si="7"/>
        <v>26188.8</v>
      </c>
      <c r="AD126" s="16"/>
      <c r="AE126" s="66"/>
      <c r="AF126" s="90">
        <v>61.25</v>
      </c>
      <c r="AG126" s="79">
        <f t="shared" si="9"/>
        <v>0.2338786045943304</v>
      </c>
    </row>
    <row r="127" spans="1:33" ht="13.5">
      <c r="A127" s="9" t="s">
        <v>133</v>
      </c>
      <c r="B127" s="55" t="s">
        <v>134</v>
      </c>
      <c r="C127" s="41">
        <v>1500000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1">
        <f t="shared" si="7"/>
        <v>1500000</v>
      </c>
      <c r="AD127" s="16"/>
      <c r="AE127" s="66"/>
      <c r="AF127" s="92"/>
      <c r="AG127" s="77">
        <f t="shared" si="9"/>
        <v>0</v>
      </c>
    </row>
    <row r="128" spans="1:33" s="3" customFormat="1" ht="23.25" customHeight="1">
      <c r="A128" s="22" t="s">
        <v>109</v>
      </c>
      <c r="B128" s="59" t="s">
        <v>52</v>
      </c>
      <c r="C128" s="40">
        <f>C129</f>
        <v>32849</v>
      </c>
      <c r="D128" s="40">
        <f aca="true" t="shared" si="19" ref="D128:AB128">D129</f>
        <v>0</v>
      </c>
      <c r="E128" s="40">
        <f t="shared" si="19"/>
        <v>0</v>
      </c>
      <c r="F128" s="40">
        <f t="shared" si="19"/>
        <v>0</v>
      </c>
      <c r="G128" s="40">
        <f t="shared" si="19"/>
        <v>0</v>
      </c>
      <c r="H128" s="40">
        <f t="shared" si="19"/>
        <v>0</v>
      </c>
      <c r="I128" s="40">
        <f t="shared" si="19"/>
        <v>0</v>
      </c>
      <c r="J128" s="40">
        <f t="shared" si="19"/>
        <v>0</v>
      </c>
      <c r="K128" s="40">
        <f t="shared" si="19"/>
        <v>0</v>
      </c>
      <c r="L128" s="40">
        <f t="shared" si="19"/>
        <v>0</v>
      </c>
      <c r="M128" s="40">
        <f t="shared" si="19"/>
        <v>0</v>
      </c>
      <c r="N128" s="40">
        <f t="shared" si="19"/>
        <v>0</v>
      </c>
      <c r="O128" s="40">
        <f t="shared" si="19"/>
        <v>0</v>
      </c>
      <c r="P128" s="40">
        <f t="shared" si="19"/>
        <v>0</v>
      </c>
      <c r="Q128" s="40">
        <f t="shared" si="19"/>
        <v>0</v>
      </c>
      <c r="R128" s="40">
        <f t="shared" si="19"/>
        <v>0</v>
      </c>
      <c r="S128" s="40">
        <f t="shared" si="19"/>
        <v>0</v>
      </c>
      <c r="T128" s="40">
        <f t="shared" si="19"/>
        <v>0</v>
      </c>
      <c r="U128" s="40">
        <f t="shared" si="19"/>
        <v>0</v>
      </c>
      <c r="V128" s="40">
        <f t="shared" si="19"/>
        <v>0</v>
      </c>
      <c r="W128" s="40">
        <f t="shared" si="19"/>
        <v>0</v>
      </c>
      <c r="X128" s="40">
        <f t="shared" si="19"/>
        <v>0</v>
      </c>
      <c r="Y128" s="40">
        <f t="shared" si="19"/>
        <v>0</v>
      </c>
      <c r="Z128" s="40">
        <f t="shared" si="19"/>
        <v>0</v>
      </c>
      <c r="AA128" s="40">
        <f t="shared" si="19"/>
        <v>0</v>
      </c>
      <c r="AB128" s="40">
        <f t="shared" si="19"/>
        <v>0</v>
      </c>
      <c r="AC128" s="40">
        <f>AC129</f>
        <v>32849</v>
      </c>
      <c r="AD128" s="17"/>
      <c r="AE128" s="73"/>
      <c r="AF128" s="93">
        <f>AF129</f>
        <v>32827.39</v>
      </c>
      <c r="AG128" s="76">
        <f t="shared" si="9"/>
        <v>99.93421413132819</v>
      </c>
    </row>
    <row r="129" spans="1:33" ht="27.75">
      <c r="A129" s="9" t="s">
        <v>126</v>
      </c>
      <c r="B129" s="115" t="s">
        <v>25</v>
      </c>
      <c r="C129" s="38">
        <v>32849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80">
        <f>C129</f>
        <v>32849</v>
      </c>
      <c r="AD129" s="16"/>
      <c r="AE129" s="66"/>
      <c r="AF129" s="133">
        <v>32827.39</v>
      </c>
      <c r="AG129" s="77">
        <f t="shared" si="9"/>
        <v>99.93421413132819</v>
      </c>
    </row>
    <row r="130" spans="1:33" s="3" customFormat="1" ht="15">
      <c r="A130" s="22" t="s">
        <v>110</v>
      </c>
      <c r="B130" s="59" t="s">
        <v>29</v>
      </c>
      <c r="C130" s="40">
        <f>AC130</f>
        <v>832234.5</v>
      </c>
      <c r="D130" s="40">
        <f aca="true" t="shared" si="20" ref="D130:AB130">SUM(D132:D137)</f>
        <v>0</v>
      </c>
      <c r="E130" s="40">
        <f t="shared" si="20"/>
        <v>0</v>
      </c>
      <c r="F130" s="40">
        <f t="shared" si="20"/>
        <v>0</v>
      </c>
      <c r="G130" s="40">
        <f t="shared" si="20"/>
        <v>0</v>
      </c>
      <c r="H130" s="40">
        <f t="shared" si="20"/>
        <v>0</v>
      </c>
      <c r="I130" s="40">
        <f t="shared" si="20"/>
        <v>0</v>
      </c>
      <c r="J130" s="40">
        <f t="shared" si="20"/>
        <v>0</v>
      </c>
      <c r="K130" s="40">
        <f t="shared" si="20"/>
        <v>0</v>
      </c>
      <c r="L130" s="40">
        <f t="shared" si="20"/>
        <v>0</v>
      </c>
      <c r="M130" s="40">
        <f t="shared" si="20"/>
        <v>0</v>
      </c>
      <c r="N130" s="40">
        <f t="shared" si="20"/>
        <v>0</v>
      </c>
      <c r="O130" s="40">
        <f t="shared" si="20"/>
        <v>0</v>
      </c>
      <c r="P130" s="40">
        <f t="shared" si="20"/>
        <v>0</v>
      </c>
      <c r="Q130" s="40">
        <f t="shared" si="20"/>
        <v>0</v>
      </c>
      <c r="R130" s="40">
        <f t="shared" si="20"/>
        <v>0</v>
      </c>
      <c r="S130" s="40">
        <f t="shared" si="20"/>
        <v>0</v>
      </c>
      <c r="T130" s="40">
        <f t="shared" si="20"/>
        <v>0</v>
      </c>
      <c r="U130" s="40">
        <f t="shared" si="20"/>
        <v>0</v>
      </c>
      <c r="V130" s="40">
        <f t="shared" si="20"/>
        <v>0</v>
      </c>
      <c r="W130" s="40">
        <f t="shared" si="20"/>
        <v>0</v>
      </c>
      <c r="X130" s="40">
        <f t="shared" si="20"/>
        <v>0</v>
      </c>
      <c r="Y130" s="40">
        <f t="shared" si="20"/>
        <v>0</v>
      </c>
      <c r="Z130" s="40">
        <f t="shared" si="20"/>
        <v>0</v>
      </c>
      <c r="AA130" s="40">
        <f t="shared" si="20"/>
        <v>0</v>
      </c>
      <c r="AB130" s="40">
        <f t="shared" si="20"/>
        <v>0</v>
      </c>
      <c r="AC130" s="40">
        <f>AC132+AC133</f>
        <v>832234.5</v>
      </c>
      <c r="AD130" s="34">
        <f>AD137</f>
        <v>0</v>
      </c>
      <c r="AE130" s="65">
        <f>AD130</f>
        <v>0</v>
      </c>
      <c r="AF130" s="93">
        <f>AF131+AF137</f>
        <v>202086.3</v>
      </c>
      <c r="AG130" s="76">
        <f t="shared" si="9"/>
        <v>24.28237473933128</v>
      </c>
    </row>
    <row r="131" spans="1:33" ht="21" customHeight="1">
      <c r="A131" s="9" t="s">
        <v>113</v>
      </c>
      <c r="B131" s="55" t="s">
        <v>54</v>
      </c>
      <c r="C131" s="41">
        <f>C132+C133</f>
        <v>832234.5</v>
      </c>
      <c r="D131" s="41">
        <f aca="true" t="shared" si="21" ref="D131:AB131">D132+D137</f>
        <v>0</v>
      </c>
      <c r="E131" s="41">
        <f t="shared" si="21"/>
        <v>0</v>
      </c>
      <c r="F131" s="41">
        <f t="shared" si="21"/>
        <v>0</v>
      </c>
      <c r="G131" s="41">
        <f t="shared" si="21"/>
        <v>0</v>
      </c>
      <c r="H131" s="41">
        <f t="shared" si="21"/>
        <v>0</v>
      </c>
      <c r="I131" s="41">
        <f t="shared" si="21"/>
        <v>0</v>
      </c>
      <c r="J131" s="41">
        <f t="shared" si="21"/>
        <v>0</v>
      </c>
      <c r="K131" s="41">
        <f t="shared" si="21"/>
        <v>0</v>
      </c>
      <c r="L131" s="41">
        <f t="shared" si="21"/>
        <v>0</v>
      </c>
      <c r="M131" s="41">
        <f t="shared" si="21"/>
        <v>0</v>
      </c>
      <c r="N131" s="41">
        <f t="shared" si="21"/>
        <v>0</v>
      </c>
      <c r="O131" s="41">
        <f t="shared" si="21"/>
        <v>0</v>
      </c>
      <c r="P131" s="41">
        <f t="shared" si="21"/>
        <v>0</v>
      </c>
      <c r="Q131" s="41">
        <f t="shared" si="21"/>
        <v>0</v>
      </c>
      <c r="R131" s="41">
        <f t="shared" si="21"/>
        <v>0</v>
      </c>
      <c r="S131" s="41">
        <f t="shared" si="21"/>
        <v>0</v>
      </c>
      <c r="T131" s="41">
        <f t="shared" si="21"/>
        <v>0</v>
      </c>
      <c r="U131" s="41">
        <f t="shared" si="21"/>
        <v>0</v>
      </c>
      <c r="V131" s="41">
        <f t="shared" si="21"/>
        <v>0</v>
      </c>
      <c r="W131" s="41">
        <f t="shared" si="21"/>
        <v>0</v>
      </c>
      <c r="X131" s="41">
        <f t="shared" si="21"/>
        <v>0</v>
      </c>
      <c r="Y131" s="41">
        <f t="shared" si="21"/>
        <v>0</v>
      </c>
      <c r="Z131" s="41">
        <f t="shared" si="21"/>
        <v>0</v>
      </c>
      <c r="AA131" s="41">
        <f t="shared" si="21"/>
        <v>0</v>
      </c>
      <c r="AB131" s="41">
        <f t="shared" si="21"/>
        <v>0</v>
      </c>
      <c r="AC131" s="41">
        <f>C131</f>
        <v>832234.5</v>
      </c>
      <c r="AD131" s="61"/>
      <c r="AE131" s="74"/>
      <c r="AF131" s="89">
        <f>AF132+AF133</f>
        <v>202086.3</v>
      </c>
      <c r="AG131" s="132">
        <f t="shared" si="9"/>
        <v>24.28237473933128</v>
      </c>
    </row>
    <row r="132" spans="1:33" ht="42">
      <c r="A132" s="9"/>
      <c r="B132" s="56" t="s">
        <v>14</v>
      </c>
      <c r="C132" s="42">
        <v>723779.5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2">
        <f>C132</f>
        <v>723779.5</v>
      </c>
      <c r="AD132" s="62"/>
      <c r="AE132" s="75"/>
      <c r="AF132" s="116">
        <f>24211.33+10124.25+10765.51+13157.92+11695.74+9191.49+14350.76+21184.89+15358.73+16539.68+6350+11796.83+18600+6214.66+12544.51</f>
        <v>202086.3</v>
      </c>
      <c r="AG132" s="131">
        <f t="shared" si="9"/>
        <v>27.9209759325872</v>
      </c>
    </row>
    <row r="133" spans="1:33" ht="32.25" customHeight="1">
      <c r="A133" s="9"/>
      <c r="B133" s="118" t="s">
        <v>15</v>
      </c>
      <c r="C133" s="42">
        <v>108455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2">
        <f>C133</f>
        <v>108455</v>
      </c>
      <c r="AD133" s="62"/>
      <c r="AE133" s="75"/>
      <c r="AF133" s="91">
        <v>0</v>
      </c>
      <c r="AG133" s="131">
        <f t="shared" si="9"/>
        <v>0</v>
      </c>
    </row>
    <row r="134" spans="1:33" ht="32.25" customHeight="1">
      <c r="A134" s="119" t="s">
        <v>209</v>
      </c>
      <c r="B134" s="120" t="s">
        <v>224</v>
      </c>
      <c r="C134" s="126">
        <f>C135</f>
        <v>20000000</v>
      </c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6">
        <f>AC135</f>
        <v>20000000</v>
      </c>
      <c r="AD134" s="121"/>
      <c r="AE134" s="122"/>
      <c r="AF134" s="123"/>
      <c r="AG134" s="124"/>
    </row>
    <row r="135" spans="1:33" ht="43.5" customHeight="1">
      <c r="A135" s="9" t="s">
        <v>210</v>
      </c>
      <c r="B135" s="125" t="s">
        <v>211</v>
      </c>
      <c r="C135" s="38">
        <f>AC135</f>
        <v>20000000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8">
        <v>20000000</v>
      </c>
      <c r="AD135" s="62"/>
      <c r="AE135" s="75"/>
      <c r="AF135" s="90"/>
      <c r="AG135" s="77">
        <f t="shared" si="9"/>
        <v>0</v>
      </c>
    </row>
    <row r="136" spans="1:33" ht="43.5" customHeight="1">
      <c r="A136" s="119" t="s">
        <v>212</v>
      </c>
      <c r="B136" s="128" t="s">
        <v>214</v>
      </c>
      <c r="C136" s="126">
        <f>C137</f>
        <v>16489400</v>
      </c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6">
        <f>AC137</f>
        <v>16489400</v>
      </c>
      <c r="AD136" s="121"/>
      <c r="AE136" s="122"/>
      <c r="AF136" s="123"/>
      <c r="AG136" s="124"/>
    </row>
    <row r="137" spans="1:33" ht="93" customHeight="1">
      <c r="A137" s="9" t="s">
        <v>213</v>
      </c>
      <c r="B137" s="51" t="s">
        <v>218</v>
      </c>
      <c r="C137" s="38">
        <f>AC137</f>
        <v>16489400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8">
        <v>16489400</v>
      </c>
      <c r="AD137" s="35"/>
      <c r="AE137" s="68"/>
      <c r="AF137" s="94"/>
      <c r="AG137" s="77">
        <f t="shared" si="9"/>
        <v>0</v>
      </c>
    </row>
    <row r="138" spans="1:33" ht="24" customHeight="1">
      <c r="A138" s="139" t="s">
        <v>48</v>
      </c>
      <c r="B138" s="140"/>
      <c r="C138" s="50">
        <f>AC138+AE138</f>
        <v>131238802.62</v>
      </c>
      <c r="D138" s="50">
        <f aca="true" t="shared" si="22" ref="D138:AB138">D128+D69+D130</f>
        <v>0</v>
      </c>
      <c r="E138" s="50">
        <f t="shared" si="22"/>
        <v>0</v>
      </c>
      <c r="F138" s="50">
        <f t="shared" si="22"/>
        <v>0</v>
      </c>
      <c r="G138" s="50">
        <f t="shared" si="22"/>
        <v>0</v>
      </c>
      <c r="H138" s="50">
        <f t="shared" si="22"/>
        <v>0</v>
      </c>
      <c r="I138" s="50">
        <f t="shared" si="22"/>
        <v>0</v>
      </c>
      <c r="J138" s="50">
        <f t="shared" si="22"/>
        <v>0</v>
      </c>
      <c r="K138" s="50">
        <f t="shared" si="22"/>
        <v>0</v>
      </c>
      <c r="L138" s="50">
        <f t="shared" si="22"/>
        <v>0</v>
      </c>
      <c r="M138" s="50">
        <f t="shared" si="22"/>
        <v>0</v>
      </c>
      <c r="N138" s="50">
        <f t="shared" si="22"/>
        <v>0</v>
      </c>
      <c r="O138" s="50">
        <f t="shared" si="22"/>
        <v>0</v>
      </c>
      <c r="P138" s="50">
        <f t="shared" si="22"/>
        <v>0</v>
      </c>
      <c r="Q138" s="50">
        <f t="shared" si="22"/>
        <v>0</v>
      </c>
      <c r="R138" s="50">
        <f t="shared" si="22"/>
        <v>0</v>
      </c>
      <c r="S138" s="50">
        <f t="shared" si="22"/>
        <v>0</v>
      </c>
      <c r="T138" s="50">
        <f t="shared" si="22"/>
        <v>0</v>
      </c>
      <c r="U138" s="50">
        <f t="shared" si="22"/>
        <v>0</v>
      </c>
      <c r="V138" s="50">
        <f t="shared" si="22"/>
        <v>0</v>
      </c>
      <c r="W138" s="50">
        <f t="shared" si="22"/>
        <v>0</v>
      </c>
      <c r="X138" s="50">
        <f t="shared" si="22"/>
        <v>0</v>
      </c>
      <c r="Y138" s="50">
        <f t="shared" si="22"/>
        <v>0</v>
      </c>
      <c r="Z138" s="50">
        <f t="shared" si="22"/>
        <v>0</v>
      </c>
      <c r="AA138" s="50">
        <f t="shared" si="22"/>
        <v>0</v>
      </c>
      <c r="AB138" s="50">
        <f t="shared" si="22"/>
        <v>0</v>
      </c>
      <c r="AC138" s="50">
        <f>AC136+AC134+AC130+AC128+AC69</f>
        <v>86973338.18</v>
      </c>
      <c r="AD138" s="34">
        <f>AE138</f>
        <v>44265464.44</v>
      </c>
      <c r="AE138" s="65">
        <f>AE6+AE65+AE67+AE69+AE128+AE130</f>
        <v>44265464.44</v>
      </c>
      <c r="AF138" s="95">
        <f>AF130+AF128+AF69+AF67+AF65+AF6</f>
        <v>60739842.66</v>
      </c>
      <c r="AG138" s="76">
        <f t="shared" si="9"/>
        <v>46.28192382695787</v>
      </c>
    </row>
    <row r="139" spans="15:18" ht="12.75">
      <c r="O139" s="8"/>
      <c r="Q139" s="11"/>
      <c r="R139" s="11"/>
    </row>
    <row r="140" spans="1:29" s="4" customFormat="1" ht="18">
      <c r="A140" s="23"/>
      <c r="C140" s="12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3"/>
      <c r="P140" s="5"/>
      <c r="Q140" s="14"/>
      <c r="R140" s="14"/>
      <c r="S140" s="14"/>
      <c r="T140" s="14"/>
      <c r="U140" s="14"/>
      <c r="V140" s="14"/>
      <c r="W140" s="14"/>
      <c r="X140" s="5"/>
      <c r="Y140" s="5"/>
      <c r="Z140" s="5"/>
      <c r="AA140" s="5"/>
      <c r="AB140" s="5"/>
      <c r="AC140" s="5"/>
    </row>
    <row r="141" spans="15:23" ht="12.75">
      <c r="O141" s="8"/>
      <c r="Q141" s="10"/>
      <c r="R141" s="10"/>
      <c r="S141" s="10"/>
      <c r="T141" s="10"/>
      <c r="U141" s="10"/>
      <c r="V141" s="10"/>
      <c r="W141" s="10"/>
    </row>
    <row r="142" spans="1:31" ht="17.25">
      <c r="A142" s="138"/>
      <c r="B142" s="138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3"/>
      <c r="P142" s="5"/>
      <c r="Q142" s="14"/>
      <c r="R142" s="14"/>
      <c r="S142" s="14"/>
      <c r="T142" s="14"/>
      <c r="U142" s="14"/>
      <c r="V142" s="14"/>
      <c r="W142" s="14"/>
      <c r="X142" s="5"/>
      <c r="Y142" s="5"/>
      <c r="Z142" s="5"/>
      <c r="AA142" s="5"/>
      <c r="AB142" s="5"/>
      <c r="AC142" s="5"/>
      <c r="AE142" s="12"/>
    </row>
    <row r="143" ht="12.75">
      <c r="AD143" s="8"/>
    </row>
  </sheetData>
  <sheetProtection/>
  <mergeCells count="10">
    <mergeCell ref="AG4:AG5"/>
    <mergeCell ref="AF4:AF5"/>
    <mergeCell ref="A142:B142"/>
    <mergeCell ref="A138:B138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2018-12-03T12:18:39Z</cp:lastPrinted>
  <dcterms:created xsi:type="dcterms:W3CDTF">2014-01-17T10:52:16Z</dcterms:created>
  <dcterms:modified xsi:type="dcterms:W3CDTF">2018-12-05T09:36:01Z</dcterms:modified>
  <cp:category/>
  <cp:version/>
  <cp:contentType/>
  <cp:contentStatus/>
</cp:coreProperties>
</file>